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tniinz\ข้อมูลบริการการเงินการคลัง Benchmaking\ข้อมูลบริการ ไตรมาส 2 2566\"/>
    </mc:Choice>
  </mc:AlternateContent>
  <bookViews>
    <workbookView xWindow="-60" yWindow="-60" windowWidth="15480" windowHeight="11010" tabRatio="698" activeTab="1"/>
  </bookViews>
  <sheets>
    <sheet name="1.ข้อมูลทั่วไป" sheetId="3" r:id="rId1"/>
    <sheet name="2.ข้อมูลการให้บริการ" sheetId="2" r:id="rId2"/>
  </sheets>
  <externalReferences>
    <externalReference r:id="rId3"/>
  </externalReferences>
  <definedNames>
    <definedName name="_xlnm.Print_Titles" localSheetId="1">'2.ข้อมูลการให้บริการ'!$A:$B,'2.ข้อมูลการให้บริการ'!$2:$8</definedName>
  </definedNames>
  <calcPr calcId="152511"/>
</workbook>
</file>

<file path=xl/calcChain.xml><?xml version="1.0" encoding="utf-8"?>
<calcChain xmlns="http://schemas.openxmlformats.org/spreadsheetml/2006/main">
  <c r="D10" i="2" l="1"/>
  <c r="D9" i="2"/>
  <c r="V14" i="2" l="1"/>
  <c r="U14" i="2"/>
  <c r="T14" i="2"/>
  <c r="S14" i="2"/>
  <c r="Q14" i="2"/>
  <c r="P14" i="2"/>
  <c r="O14" i="2"/>
  <c r="N14" i="2"/>
  <c r="L14" i="2"/>
  <c r="K14" i="2"/>
  <c r="J14" i="2"/>
  <c r="I14" i="2"/>
  <c r="G14" i="2"/>
  <c r="F14" i="2"/>
  <c r="E14" i="2"/>
  <c r="D14" i="2"/>
  <c r="P14" i="3"/>
  <c r="V12" i="2"/>
  <c r="U12" i="2"/>
  <c r="T12" i="2"/>
  <c r="S12" i="2"/>
  <c r="Q12" i="2"/>
  <c r="P12" i="2"/>
  <c r="O12" i="2"/>
  <c r="N12" i="2"/>
  <c r="L12" i="2"/>
  <c r="K12" i="2"/>
  <c r="J12" i="2"/>
  <c r="I12" i="2"/>
  <c r="G12" i="2"/>
  <c r="F12" i="2"/>
  <c r="E12" i="2"/>
  <c r="D12" i="2"/>
  <c r="V11" i="2" l="1"/>
  <c r="U11" i="2"/>
  <c r="T11" i="2"/>
  <c r="S11" i="2"/>
  <c r="Q11" i="2"/>
  <c r="P11" i="2"/>
  <c r="O11" i="2"/>
  <c r="N11" i="2"/>
  <c r="L11" i="2"/>
  <c r="K11" i="2"/>
  <c r="J11" i="2"/>
  <c r="I11" i="2"/>
  <c r="G11" i="2"/>
  <c r="F11" i="2"/>
  <c r="E11" i="2"/>
  <c r="D11" i="2"/>
  <c r="X10" i="2" l="1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W10" i="2"/>
  <c r="W13" i="2"/>
  <c r="R10" i="2"/>
  <c r="R11" i="2"/>
  <c r="R12" i="2"/>
  <c r="R13" i="2"/>
  <c r="R14" i="2"/>
  <c r="M10" i="2"/>
  <c r="M11" i="2"/>
  <c r="M12" i="2"/>
  <c r="M13" i="2"/>
  <c r="M14" i="2"/>
  <c r="H10" i="2"/>
  <c r="H11" i="2"/>
  <c r="H12" i="2"/>
  <c r="H13" i="2"/>
  <c r="H14" i="2"/>
  <c r="C10" i="2"/>
  <c r="C11" i="2"/>
  <c r="C12" i="2"/>
  <c r="C13" i="2"/>
  <c r="C14" i="2"/>
  <c r="V10" i="2"/>
  <c r="U10" i="2"/>
  <c r="T10" i="2"/>
  <c r="S10" i="2"/>
  <c r="Q10" i="2"/>
  <c r="P10" i="2"/>
  <c r="O10" i="2"/>
  <c r="N10" i="2"/>
  <c r="L10" i="2"/>
  <c r="K10" i="2"/>
  <c r="J10" i="2"/>
  <c r="I10" i="2"/>
  <c r="G10" i="2"/>
  <c r="F10" i="2"/>
  <c r="E10" i="2"/>
  <c r="W14" i="2" l="1"/>
  <c r="W12" i="2"/>
  <c r="W11" i="2"/>
  <c r="V13" i="2"/>
  <c r="U13" i="2"/>
  <c r="T13" i="2"/>
  <c r="S13" i="2"/>
  <c r="Q13" i="2"/>
  <c r="P13" i="2"/>
  <c r="O13" i="2"/>
  <c r="N13" i="2"/>
  <c r="L13" i="2"/>
  <c r="K13" i="2"/>
  <c r="J13" i="2"/>
  <c r="I13" i="2"/>
  <c r="G13" i="2"/>
  <c r="F13" i="2"/>
  <c r="E13" i="2"/>
  <c r="D13" i="2"/>
  <c r="V9" i="2" l="1"/>
  <c r="U9" i="2"/>
  <c r="T9" i="2"/>
  <c r="S9" i="2"/>
  <c r="Q9" i="2"/>
  <c r="P9" i="2"/>
  <c r="O9" i="2"/>
  <c r="N9" i="2"/>
  <c r="L9" i="2"/>
  <c r="K9" i="2"/>
  <c r="J9" i="2"/>
  <c r="I9" i="2"/>
  <c r="G9" i="2"/>
  <c r="F9" i="2"/>
  <c r="E9" i="2"/>
  <c r="M9" i="2" l="1"/>
  <c r="H9" i="2"/>
  <c r="Y9" i="2"/>
  <c r="AA9" i="2"/>
  <c r="Z9" i="2"/>
  <c r="R9" i="2"/>
  <c r="X9" i="2"/>
  <c r="C13" i="3"/>
  <c r="W9" i="2" l="1"/>
  <c r="C9" i="2"/>
  <c r="C12" i="3" l="1"/>
</calcChain>
</file>

<file path=xl/sharedStrings.xml><?xml version="1.0" encoding="utf-8"?>
<sst xmlns="http://schemas.openxmlformats.org/spreadsheetml/2006/main" count="115" uniqueCount="77">
  <si>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</si>
  <si>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</si>
  <si>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</si>
  <si>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</si>
  <si>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</si>
  <si>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</si>
  <si>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</si>
  <si>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</si>
  <si>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</si>
  <si>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</si>
  <si>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</si>
  <si>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</si>
  <si>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</si>
  <si>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</si>
  <si>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</si>
  <si>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</si>
  <si>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</si>
  <si>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</si>
  <si>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</si>
  <si>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</si>
  <si>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</si>
  <si>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</si>
  <si>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t>สิ่งที่ส่งมาด้วย 3</t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</si>
  <si>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</si>
  <si>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</si>
  <si>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</si>
  <si>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</si>
  <si>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</si>
  <si>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</si>
  <si>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</si>
  <si>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</si>
  <si>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</si>
  <si>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</si>
  <si>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</si>
  <si>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</si>
  <si>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</si>
  <si>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</si>
  <si>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</si>
  <si>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</si>
  <si>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</si>
  <si>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</si>
  <si>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</si>
  <si>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</si>
  <si>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</si>
  <si>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</si>
  <si>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</si>
  <si>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</si>
  <si>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</si>
  <si>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</si>
  <si>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</si>
  <si>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</si>
  <si>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รพช.ศรีบุญเรือง</t>
  </si>
  <si>
    <t>รพช.นาวังฯ</t>
  </si>
  <si>
    <t xml:space="preserve">กรุณาส่งข้อมูล  ตามแบบฟอร์มนี้มาที่ กลุ่มงานการเงินการคลัง  สำนักงานเขตบริการสุขภาพที่ 8  ทาง E-mail ที่ r8waycfo@gmail.com </t>
  </si>
  <si>
    <r>
      <t xml:space="preserve">กรุณาส่งข้อมูลบริการ  ตามแบบฟอร์มนี้ไปที่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</si>
  <si>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F1</t>
  </si>
  <si>
    <t>ระดับรพ.วิกฤต ไตรมาส 4/65</t>
  </si>
  <si>
    <t>ข้อมูล ณ 31 ธันวาคม 2565</t>
  </si>
  <si>
    <t>รพ.หนองบัวลำภู</t>
  </si>
  <si>
    <t>โรพยาบาลโนนสัง</t>
  </si>
  <si>
    <t>F2</t>
  </si>
  <si>
    <t>Re-Acc.3</t>
  </si>
  <si>
    <t>รพ.โนนสัง</t>
  </si>
  <si>
    <t>นากลาง</t>
  </si>
  <si>
    <t xml:space="preserve"> -</t>
  </si>
  <si>
    <t>สุวรรณคูหา</t>
  </si>
  <si>
    <t>-</t>
  </si>
  <si>
    <t>นาวังเฉลิมพระเกียรติ ๘๐ พรรษา</t>
  </si>
  <si>
    <t>S</t>
  </si>
  <si>
    <t>Re-Acc 3</t>
  </si>
  <si>
    <t xml:space="preserve">  </t>
  </si>
  <si>
    <t>Re-Acc 2</t>
  </si>
  <si>
    <t>Re-Acc3</t>
  </si>
  <si>
    <t>2.  ข้อมูลบริการ  (1 ตุลาคม 2565 - 31 มีนาคม 2566)</t>
  </si>
  <si>
    <t>1. ข้อมูลทั่วไป  ณ 1 ตุลาคม 2565 -  31 มีนาคม 2566</t>
  </si>
  <si>
    <t>Re-Acc.2</t>
  </si>
  <si>
    <t>Re-Acc2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</si>
</sst>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&quot; &quot;#,##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13D3DD"/>
        <bgColor indexed="64"/>
      </patternFill>
    </fill>
    <fill>
      <patternFill patternType="solid">
        <fgColor rgb="FF0DE3D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87" fontId="5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03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2" borderId="2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/>
    <xf numFmtId="187" fontId="6" fillId="0" borderId="0" xfId="1" applyFont="1" applyBorder="1"/>
    <xf numFmtId="188" fontId="6" fillId="0" borderId="0" xfId="1" applyNumberFormat="1" applyFont="1" applyFill="1" applyBorder="1"/>
    <xf numFmtId="188" fontId="6" fillId="0" borderId="0" xfId="1" applyNumberFormat="1" applyFont="1" applyBorder="1"/>
    <xf numFmtId="0" fontId="7" fillId="0" borderId="0" xfId="0" applyFont="1" applyBorder="1"/>
    <xf numFmtId="188" fontId="7" fillId="0" borderId="0" xfId="1" applyNumberFormat="1" applyFont="1" applyFill="1" applyBorder="1"/>
    <xf numFmtId="0" fontId="7" fillId="0" borderId="0" xfId="0" applyFont="1" applyFill="1" applyBorder="1"/>
    <xf numFmtId="0" fontId="7" fillId="0" borderId="0" xfId="0" applyFont="1"/>
    <xf numFmtId="187" fontId="7" fillId="0" borderId="0" xfId="1" applyFont="1" applyBorder="1"/>
    <xf numFmtId="0" fontId="7" fillId="2" borderId="0" xfId="0" applyFont="1" applyFill="1"/>
    <xf numFmtId="0" fontId="7" fillId="7" borderId="0" xfId="0" applyFont="1" applyFill="1"/>
    <xf numFmtId="187" fontId="6" fillId="0" borderId="0" xfId="0" applyNumberFormat="1" applyFont="1" applyFill="1" applyBorder="1"/>
    <xf numFmtId="187" fontId="7" fillId="0" borderId="0" xfId="0" applyNumberFormat="1" applyFont="1" applyFill="1" applyBorder="1"/>
    <xf numFmtId="187" fontId="6" fillId="0" borderId="0" xfId="0" applyNumberFormat="1" applyFont="1" applyBorder="1"/>
    <xf numFmtId="0" fontId="7" fillId="0" borderId="0" xfId="0" applyFont="1" applyFill="1" applyBorder="1" applyAlignment="1"/>
    <xf numFmtId="0" fontId="8" fillId="0" borderId="0" xfId="0" applyFont="1"/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 vertical="top"/>
    </xf>
    <xf numFmtId="0" fontId="3" fillId="10" borderId="6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/>
    </xf>
    <xf numFmtId="188" fontId="2" fillId="0" borderId="0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7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2" fillId="20" borderId="0" xfId="0" applyFont="1" applyFill="1"/>
    <xf numFmtId="0" fontId="12" fillId="21" borderId="4" xfId="0" applyFont="1" applyFill="1" applyBorder="1" applyAlignment="1">
      <alignment horizontal="center"/>
    </xf>
    <xf numFmtId="0" fontId="4" fillId="21" borderId="0" xfId="0" applyFont="1" applyFill="1"/>
    <xf numFmtId="0" fontId="2" fillId="21" borderId="0" xfId="0" applyFont="1" applyFill="1"/>
    <xf numFmtId="3" fontId="4" fillId="17" borderId="4" xfId="2" applyNumberFormat="1" applyFont="1" applyFill="1" applyBorder="1"/>
    <xf numFmtId="188" fontId="4" fillId="17" borderId="4" xfId="2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0" fontId="15" fillId="0" borderId="0" xfId="0" applyFont="1"/>
    <xf numFmtId="0" fontId="13" fillId="0" borderId="0" xfId="0" applyFont="1"/>
    <xf numFmtId="187" fontId="4" fillId="17" borderId="4" xfId="1" applyFont="1" applyFill="1" applyBorder="1"/>
    <xf numFmtId="187" fontId="12" fillId="22" borderId="3" xfId="2" applyFont="1" applyFill="1" applyBorder="1"/>
    <xf numFmtId="188" fontId="12" fillId="23" borderId="3" xfId="2" applyNumberFormat="1" applyFont="1" applyFill="1" applyBorder="1"/>
    <xf numFmtId="188" fontId="12" fillId="24" borderId="3" xfId="2" applyNumberFormat="1" applyFont="1" applyFill="1" applyBorder="1"/>
    <xf numFmtId="187" fontId="12" fillId="24" borderId="3" xfId="1" applyFont="1" applyFill="1" applyBorder="1"/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2" fillId="0" borderId="0" xfId="0" applyFont="1" applyBorder="1"/>
    <xf numFmtId="0" fontId="6" fillId="17" borderId="0" xfId="0" applyFont="1" applyFill="1" applyBorder="1"/>
    <xf numFmtId="0" fontId="6" fillId="17" borderId="0" xfId="0" applyFont="1" applyFill="1"/>
    <xf numFmtId="0" fontId="7" fillId="17" borderId="0" xfId="0" applyFont="1" applyFill="1" applyBorder="1" applyAlignment="1"/>
    <xf numFmtId="0" fontId="7" fillId="17" borderId="0" xfId="0" applyFont="1" applyFill="1" applyBorder="1" applyAlignment="1">
      <alignment horizontal="center"/>
    </xf>
    <xf numFmtId="0" fontId="4" fillId="17" borderId="0" xfId="0" applyFont="1" applyFill="1" applyBorder="1"/>
    <xf numFmtId="0" fontId="4" fillId="17" borderId="0" xfId="0" applyFont="1" applyFill="1"/>
    <xf numFmtId="0" fontId="2" fillId="17" borderId="0" xfId="0" applyFont="1" applyFill="1" applyBorder="1"/>
    <xf numFmtId="0" fontId="2" fillId="17" borderId="0" xfId="0" applyFont="1" applyFill="1"/>
    <xf numFmtId="0" fontId="7" fillId="17" borderId="0" xfId="0" applyFont="1" applyFill="1" applyBorder="1"/>
    <xf numFmtId="0" fontId="7" fillId="17" borderId="0" xfId="0" applyFont="1" applyFill="1"/>
    <xf numFmtId="0" fontId="2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/>
    <xf numFmtId="0" fontId="2" fillId="10" borderId="0" xfId="0" applyFont="1" applyFill="1"/>
    <xf numFmtId="0" fontId="2" fillId="0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17" fillId="0" borderId="0" xfId="0" applyFont="1"/>
    <xf numFmtId="0" fontId="3" fillId="10" borderId="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4" xfId="2" applyNumberFormat="1" applyFont="1" applyFill="1" applyBorder="1" applyAlignment="1">
      <alignment horizontal="center"/>
    </xf>
    <xf numFmtId="188" fontId="18" fillId="0" borderId="4" xfId="3" applyNumberFormat="1" applyFont="1" applyFill="1" applyBorder="1"/>
    <xf numFmtId="189" fontId="18" fillId="0" borderId="4" xfId="3" applyNumberFormat="1" applyFont="1" applyFill="1" applyBorder="1"/>
    <xf numFmtId="3" fontId="18" fillId="0" borderId="4" xfId="3" applyNumberFormat="1" applyFont="1" applyFill="1" applyBorder="1"/>
    <xf numFmtId="4" fontId="18" fillId="0" borderId="4" xfId="3" applyNumberFormat="1" applyFont="1" applyFill="1" applyBorder="1"/>
    <xf numFmtId="187" fontId="18" fillId="0" borderId="4" xfId="3" applyFont="1" applyFill="1" applyBorder="1"/>
    <xf numFmtId="0" fontId="18" fillId="0" borderId="4" xfId="0" applyFont="1" applyFill="1" applyBorder="1" applyAlignment="1">
      <alignment horizontal="center"/>
    </xf>
    <xf numFmtId="188" fontId="18" fillId="0" borderId="4" xfId="0" applyNumberFormat="1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/>
    </xf>
    <xf numFmtId="188" fontId="18" fillId="0" borderId="3" xfId="6" applyNumberFormat="1" applyFont="1" applyFill="1" applyBorder="1"/>
    <xf numFmtId="188" fontId="18" fillId="0" borderId="3" xfId="5" applyNumberFormat="1" applyFont="1" applyFill="1" applyBorder="1"/>
    <xf numFmtId="187" fontId="18" fillId="0" borderId="10" xfId="1" applyFont="1" applyFill="1" applyBorder="1"/>
    <xf numFmtId="188" fontId="18" fillId="0" borderId="4" xfId="2" applyNumberFormat="1" applyFont="1" applyFill="1" applyBorder="1"/>
    <xf numFmtId="187" fontId="18" fillId="0" borderId="3" xfId="1" applyFont="1" applyBorder="1"/>
    <xf numFmtId="187" fontId="18" fillId="0" borderId="3" xfId="1" applyFont="1" applyFill="1" applyBorder="1"/>
    <xf numFmtId="0" fontId="18" fillId="0" borderId="4" xfId="0" applyFont="1" applyBorder="1" applyAlignment="1">
      <alignment horizontal="center"/>
    </xf>
    <xf numFmtId="49" fontId="18" fillId="0" borderId="4" xfId="2" applyNumberFormat="1" applyFont="1" applyFill="1" applyBorder="1" applyAlignment="1">
      <alignment horizontal="center" vertical="center"/>
    </xf>
    <xf numFmtId="0" fontId="18" fillId="17" borderId="3" xfId="0" applyFont="1" applyFill="1" applyBorder="1" applyAlignment="1">
      <alignment horizontal="center"/>
    </xf>
    <xf numFmtId="188" fontId="18" fillId="0" borderId="4" xfId="1" applyNumberFormat="1" applyFont="1" applyFill="1" applyBorder="1"/>
    <xf numFmtId="187" fontId="18" fillId="0" borderId="4" xfId="1" applyNumberFormat="1" applyFont="1" applyFill="1" applyBorder="1"/>
    <xf numFmtId="0" fontId="2" fillId="17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18" fillId="0" borderId="3" xfId="2" applyNumberFormat="1" applyFont="1" applyFill="1" applyBorder="1"/>
    <xf numFmtId="3" fontId="18" fillId="17" borderId="3" xfId="2" applyNumberFormat="1" applyFont="1" applyFill="1" applyBorder="1"/>
    <xf numFmtId="188" fontId="18" fillId="17" borderId="3" xfId="2" applyNumberFormat="1" applyFont="1" applyFill="1" applyBorder="1"/>
    <xf numFmtId="187" fontId="18" fillId="17" borderId="3" xfId="2" applyFont="1" applyFill="1" applyBorder="1"/>
    <xf numFmtId="3" fontId="2" fillId="2" borderId="4" xfId="2" applyNumberFormat="1" applyFont="1" applyFill="1" applyBorder="1" applyAlignment="1">
      <alignment horizontal="center" vertical="center"/>
    </xf>
    <xf numFmtId="3" fontId="2" fillId="0" borderId="4" xfId="2" applyNumberFormat="1" applyFont="1" applyFill="1" applyBorder="1" applyAlignment="1">
      <alignment horizontal="center"/>
    </xf>
    <xf numFmtId="3" fontId="4" fillId="0" borderId="4" xfId="2" applyNumberFormat="1" applyFont="1" applyFill="1" applyBorder="1" applyAlignment="1">
      <alignment horizontal="center"/>
    </xf>
    <xf numFmtId="3" fontId="2" fillId="2" borderId="3" xfId="2" applyNumberFormat="1" applyFont="1" applyFill="1" applyBorder="1" applyAlignment="1">
      <alignment horizontal="center" vertical="center"/>
    </xf>
    <xf numFmtId="3" fontId="18" fillId="0" borderId="3" xfId="2" applyNumberFormat="1" applyFont="1" applyFill="1" applyBorder="1" applyAlignment="1">
      <alignment horizontal="center"/>
    </xf>
    <xf numFmtId="3" fontId="18" fillId="0" borderId="4" xfId="2" applyNumberFormat="1" applyFont="1" applyFill="1" applyBorder="1" applyAlignment="1">
      <alignment horizontal="center"/>
    </xf>
    <xf numFmtId="3" fontId="18" fillId="17" borderId="3" xfId="2" applyNumberFormat="1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5" xfId="0" applyFont="1" applyFill="1" applyBorder="1" applyAlignment="1">
      <alignment horizontal="center" vertical="center" wrapText="1" shrinkToFit="1"/>
    </xf>
    <xf numFmtId="0" fontId="11" fillId="10" borderId="2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5" xfId="0" applyFont="1" applyFill="1" applyBorder="1" applyAlignment="1">
      <alignment horizontal="center" vertical="center" wrapText="1" shrinkToFit="1"/>
    </xf>
    <xf numFmtId="0" fontId="3" fillId="8" borderId="2" xfId="0" applyFont="1" applyFill="1" applyBorder="1" applyAlignment="1">
      <alignment horizontal="center" vertical="center" wrapText="1" shrinkToFit="1"/>
    </xf>
    <xf numFmtId="0" fontId="3" fillId="13" borderId="15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3" fillId="14" borderId="16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7" fillId="16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</cellXfs>
  <cellStyles count="8">
    <cellStyle name="Comma 2" xfId="2"/>
    <cellStyle name="Comma 2 2" xfId="3"/>
    <cellStyle name="เครื่องหมายจุลภาค" xfId="1" builtinId="3"/>
    <cellStyle name="เครื่องหมายจุลภาค 2" xfId="4"/>
    <cellStyle name="จุลภาค 2" xfId="5"/>
    <cellStyle name="จุลภาค 2 2" xfId="6"/>
    <cellStyle name="จุลภาค 2 3" xfId="7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6;&#3657;&#3629;&#3617;&#3641;&#3621;&#3607;&#3633;&#3656;&#3623;&#3652;&#3611;&#3649;&#3621;&#3632;&#3612;&#3621;&#3591;&#3634;&#3609;&#3610;&#3619;&#3636;&#3585;&#3634;&#3619;%20&#3652;&#3605;&#3619;&#3617;&#3634;&#3626;%202-66%20&#3619;&#3614;.&#3627;&#3609;&#3629;&#3591;&#3610;&#3633;&#3623;&#3621;&#3635;&#3616;&#36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ข้อมูลทั่วไป"/>
      <sheetName val="2.ข้อมูลการให้บริการ"/>
    </sheetNames>
    <sheetDataSet>
      <sheetData sheetId="0"/>
      <sheetData sheetId="1">
        <row r="9">
          <cell r="D9">
            <v>99597</v>
          </cell>
          <cell r="E9">
            <v>18739</v>
          </cell>
          <cell r="F9">
            <v>28626</v>
          </cell>
          <cell r="G9">
            <v>9622</v>
          </cell>
          <cell r="I9">
            <v>10758</v>
          </cell>
          <cell r="J9">
            <v>909</v>
          </cell>
          <cell r="K9">
            <v>1251</v>
          </cell>
          <cell r="L9">
            <v>655</v>
          </cell>
          <cell r="N9">
            <v>41843</v>
          </cell>
          <cell r="O9">
            <v>3352</v>
          </cell>
          <cell r="P9">
            <v>5005</v>
          </cell>
          <cell r="Q9">
            <v>3355</v>
          </cell>
          <cell r="S9">
            <v>14068.617899999999</v>
          </cell>
          <cell r="T9">
            <v>1183.8123000000001</v>
          </cell>
          <cell r="U9">
            <v>1815.8215</v>
          </cell>
          <cell r="V9">
            <v>1379.3465000000001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zoomScale="70" zoomScaleNormal="70" workbookViewId="0">
      <selection activeCell="H26" sqref="H26"/>
    </sheetView>
  </sheetViews>
  <sheetFormatPr defaultColWidth="8.875" defaultRowHeight="24" x14ac:dyDescent="0.55000000000000004"/>
  <cols>
    <col min="1" max="1" width="21" style="32" customWidth="1"/>
    <col min="2" max="2" width="10.375" style="38" customWidth="1"/>
    <col min="3" max="3" width="10.875" style="38" customWidth="1"/>
    <col min="4" max="4" width="10" style="32" customWidth="1"/>
    <col min="5" max="5" width="13.625" style="32" customWidth="1"/>
    <col min="6" max="6" width="13" style="32" customWidth="1"/>
    <col min="7" max="7" width="11" style="32" customWidth="1"/>
    <col min="8" max="8" width="10.875" style="32" customWidth="1"/>
    <col min="9" max="9" width="11.375" style="32" customWidth="1"/>
    <col min="10" max="10" width="11.875" style="32" customWidth="1"/>
    <col min="11" max="11" width="11.375" style="32" customWidth="1"/>
    <col min="12" max="12" width="11.875" style="32" customWidth="1"/>
    <col min="13" max="13" width="13.375" style="32" bestFit="1" customWidth="1"/>
    <col min="14" max="14" width="12.625" style="32" customWidth="1"/>
    <col min="15" max="15" width="11.375" style="32" customWidth="1"/>
    <col min="16" max="16" width="16" style="32" bestFit="1" customWidth="1"/>
    <col min="17" max="17" width="11" style="32" bestFit="1" customWidth="1"/>
    <col min="18" max="18" width="8.125" style="32" bestFit="1" customWidth="1"/>
    <col min="19" max="19" width="8.875" style="32" bestFit="1" customWidth="1"/>
    <col min="20" max="20" width="12.875" style="32" bestFit="1" customWidth="1"/>
    <col min="21" max="21" width="13.375" style="32" customWidth="1"/>
    <col min="22" max="22" width="17.125" style="32" customWidth="1"/>
    <col min="23" max="23" width="20.75" style="32" customWidth="1"/>
    <col min="24" max="24" width="17.875" style="32" customWidth="1"/>
    <col min="25" max="48" width="9" style="39" customWidth="1"/>
    <col min="49" max="16384" width="8.875" style="32"/>
  </cols>
  <sheetData>
    <row r="1" spans="1:49" x14ac:dyDescent="0.55000000000000004">
      <c r="I1" s="32" t="s">
        <v>22</v>
      </c>
    </row>
    <row r="2" spans="1:49" ht="27.75" x14ac:dyDescent="0.65">
      <c r="A2" s="77" t="s">
        <v>53</v>
      </c>
    </row>
    <row r="3" spans="1:49" ht="27.75" x14ac:dyDescent="0.65">
      <c r="A3" s="76"/>
    </row>
    <row r="4" spans="1:49" ht="24.75" thickBot="1" x14ac:dyDescent="0.6">
      <c r="A4" s="40" t="s">
        <v>74</v>
      </c>
      <c r="B4" s="41"/>
      <c r="C4" s="42"/>
      <c r="D4" s="69"/>
    </row>
    <row r="5" spans="1:49" s="44" customFormat="1" ht="24.75" thickBot="1" x14ac:dyDescent="0.6">
      <c r="A5" s="149" t="s">
        <v>1</v>
      </c>
      <c r="B5" s="166" t="s">
        <v>57</v>
      </c>
      <c r="C5" s="169" t="s">
        <v>23</v>
      </c>
      <c r="D5" s="172" t="s">
        <v>24</v>
      </c>
      <c r="E5" s="172"/>
      <c r="F5" s="172"/>
      <c r="G5" s="173"/>
      <c r="H5" s="174" t="s">
        <v>25</v>
      </c>
      <c r="I5" s="175"/>
      <c r="J5" s="176"/>
      <c r="K5" s="158" t="s">
        <v>26</v>
      </c>
      <c r="L5" s="159"/>
      <c r="M5" s="159"/>
      <c r="N5" s="160"/>
      <c r="O5" s="151" t="s">
        <v>27</v>
      </c>
      <c r="P5" s="152"/>
      <c r="Q5" s="152"/>
      <c r="R5" s="152"/>
      <c r="S5" s="152"/>
      <c r="T5" s="152"/>
      <c r="U5" s="152"/>
      <c r="V5" s="152"/>
      <c r="W5" s="152"/>
      <c r="X5" s="15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</row>
    <row r="6" spans="1:49" s="46" customFormat="1" ht="24.75" thickBot="1" x14ac:dyDescent="0.6">
      <c r="A6" s="154"/>
      <c r="B6" s="167"/>
      <c r="C6" s="170"/>
      <c r="D6" s="149" t="s">
        <v>0</v>
      </c>
      <c r="E6" s="155" t="s">
        <v>28</v>
      </c>
      <c r="F6" s="149" t="s">
        <v>29</v>
      </c>
      <c r="G6" s="149" t="s">
        <v>30</v>
      </c>
      <c r="H6" s="149" t="s">
        <v>31</v>
      </c>
      <c r="I6" s="155" t="s">
        <v>32</v>
      </c>
      <c r="J6" s="149" t="s">
        <v>33</v>
      </c>
      <c r="K6" s="155" t="s">
        <v>34</v>
      </c>
      <c r="L6" s="155" t="s">
        <v>35</v>
      </c>
      <c r="M6" s="149" t="s">
        <v>36</v>
      </c>
      <c r="N6" s="161" t="s">
        <v>56</v>
      </c>
      <c r="O6" s="164" t="s">
        <v>37</v>
      </c>
      <c r="P6" s="164"/>
      <c r="Q6" s="164"/>
      <c r="R6" s="164"/>
      <c r="S6" s="164"/>
      <c r="T6" s="165"/>
      <c r="U6" s="149" t="s">
        <v>38</v>
      </c>
      <c r="V6" s="149" t="s">
        <v>39</v>
      </c>
      <c r="W6" s="105" t="s">
        <v>49</v>
      </c>
      <c r="X6" s="45" t="s">
        <v>40</v>
      </c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9" s="46" customFormat="1" ht="24.75" thickBot="1" x14ac:dyDescent="0.6">
      <c r="A7" s="154"/>
      <c r="B7" s="167"/>
      <c r="C7" s="170"/>
      <c r="D7" s="154"/>
      <c r="E7" s="156"/>
      <c r="F7" s="154"/>
      <c r="G7" s="154"/>
      <c r="H7" s="154"/>
      <c r="I7" s="156"/>
      <c r="J7" s="154"/>
      <c r="K7" s="156"/>
      <c r="L7" s="156"/>
      <c r="M7" s="154"/>
      <c r="N7" s="162"/>
      <c r="O7" s="147" t="s">
        <v>41</v>
      </c>
      <c r="P7" s="148"/>
      <c r="Q7" s="149" t="s">
        <v>42</v>
      </c>
      <c r="R7" s="149" t="s">
        <v>43</v>
      </c>
      <c r="S7" s="149" t="s">
        <v>44</v>
      </c>
      <c r="T7" s="149" t="s">
        <v>45</v>
      </c>
      <c r="U7" s="154"/>
      <c r="V7" s="154"/>
      <c r="W7" s="106" t="s">
        <v>46</v>
      </c>
      <c r="X7" s="47" t="s">
        <v>46</v>
      </c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</row>
    <row r="8" spans="1:49" s="46" customFormat="1" ht="24.75" thickBot="1" x14ac:dyDescent="0.6">
      <c r="A8" s="150"/>
      <c r="B8" s="168"/>
      <c r="C8" s="171"/>
      <c r="D8" s="150"/>
      <c r="E8" s="157"/>
      <c r="F8" s="150"/>
      <c r="G8" s="150"/>
      <c r="H8" s="150"/>
      <c r="I8" s="157"/>
      <c r="J8" s="150"/>
      <c r="K8" s="157"/>
      <c r="L8" s="157"/>
      <c r="M8" s="150"/>
      <c r="N8" s="163"/>
      <c r="O8" s="48" t="s">
        <v>50</v>
      </c>
      <c r="P8" s="48" t="s">
        <v>47</v>
      </c>
      <c r="Q8" s="150"/>
      <c r="R8" s="150"/>
      <c r="S8" s="150"/>
      <c r="T8" s="150"/>
      <c r="U8" s="150"/>
      <c r="V8" s="150"/>
      <c r="W8" s="67"/>
      <c r="X8" s="4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</row>
    <row r="9" spans="1:49" s="46" customFormat="1" x14ac:dyDescent="0.55000000000000004">
      <c r="A9" s="107" t="s">
        <v>58</v>
      </c>
      <c r="B9" s="68">
        <v>2566</v>
      </c>
      <c r="C9" s="140">
        <v>141080</v>
      </c>
      <c r="D9" s="141">
        <v>100822</v>
      </c>
      <c r="E9" s="142">
        <v>34322</v>
      </c>
      <c r="F9" s="142">
        <v>4380</v>
      </c>
      <c r="G9" s="142">
        <v>1556</v>
      </c>
      <c r="H9" s="61">
        <v>303</v>
      </c>
      <c r="I9" s="61">
        <v>353</v>
      </c>
      <c r="J9" s="61">
        <v>78</v>
      </c>
      <c r="K9" s="61" t="s">
        <v>66</v>
      </c>
      <c r="L9" s="61" t="s">
        <v>68</v>
      </c>
      <c r="M9" s="61" t="s">
        <v>69</v>
      </c>
      <c r="N9" s="61">
        <v>0</v>
      </c>
      <c r="O9" s="61">
        <v>13</v>
      </c>
      <c r="P9" s="61">
        <v>56</v>
      </c>
      <c r="Q9" s="61">
        <v>13</v>
      </c>
      <c r="R9" s="61">
        <v>22</v>
      </c>
      <c r="S9" s="61">
        <v>280</v>
      </c>
      <c r="T9" s="61">
        <v>80</v>
      </c>
      <c r="U9" s="61">
        <v>22</v>
      </c>
      <c r="V9" s="61">
        <v>29</v>
      </c>
      <c r="W9" s="75">
        <v>309</v>
      </c>
      <c r="X9" s="61">
        <v>33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</row>
    <row r="10" spans="1:49" s="39" customFormat="1" ht="26.25" customHeight="1" x14ac:dyDescent="0.55000000000000004">
      <c r="A10" s="62" t="s">
        <v>63</v>
      </c>
      <c r="B10" s="63">
        <v>2566</v>
      </c>
      <c r="C10" s="143">
        <v>90806</v>
      </c>
      <c r="D10" s="144">
        <v>69632</v>
      </c>
      <c r="E10" s="144">
        <v>11680</v>
      </c>
      <c r="F10" s="144">
        <v>4075</v>
      </c>
      <c r="G10" s="144">
        <v>193</v>
      </c>
      <c r="H10" s="119">
        <v>60</v>
      </c>
      <c r="I10" s="119">
        <v>70</v>
      </c>
      <c r="J10" s="119">
        <v>8</v>
      </c>
      <c r="K10" s="119" t="s">
        <v>64</v>
      </c>
      <c r="L10" s="119" t="s">
        <v>60</v>
      </c>
      <c r="M10" s="120" t="s">
        <v>71</v>
      </c>
      <c r="N10" s="119">
        <v>0</v>
      </c>
      <c r="O10" s="119">
        <v>4</v>
      </c>
      <c r="P10" s="119">
        <v>5</v>
      </c>
      <c r="Q10" s="119">
        <v>5</v>
      </c>
      <c r="R10" s="119">
        <v>5</v>
      </c>
      <c r="S10" s="119">
        <v>64</v>
      </c>
      <c r="T10" s="119">
        <v>36</v>
      </c>
      <c r="U10" s="119">
        <v>7</v>
      </c>
      <c r="V10" s="119">
        <v>3</v>
      </c>
      <c r="W10" s="119">
        <v>77</v>
      </c>
      <c r="X10" s="121">
        <v>2</v>
      </c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46"/>
    </row>
    <row r="11" spans="1:49" s="39" customFormat="1" x14ac:dyDescent="0.55000000000000004">
      <c r="A11" s="98" t="s">
        <v>59</v>
      </c>
      <c r="B11" s="68">
        <v>2566</v>
      </c>
      <c r="C11" s="143">
        <v>73417</v>
      </c>
      <c r="D11" s="145">
        <v>46890</v>
      </c>
      <c r="E11" s="145">
        <v>16885</v>
      </c>
      <c r="F11" s="145">
        <v>4508</v>
      </c>
      <c r="G11" s="145">
        <v>1363</v>
      </c>
      <c r="H11" s="128">
        <v>30</v>
      </c>
      <c r="I11" s="128">
        <v>40</v>
      </c>
      <c r="J11" s="128">
        <v>11</v>
      </c>
      <c r="K11" s="128">
        <v>2.2000000000000002</v>
      </c>
      <c r="L11" s="128" t="s">
        <v>60</v>
      </c>
      <c r="M11" s="128" t="s">
        <v>61</v>
      </c>
      <c r="N11" s="128">
        <v>3</v>
      </c>
      <c r="O11" s="128">
        <v>4</v>
      </c>
      <c r="P11" s="128">
        <v>0</v>
      </c>
      <c r="Q11" s="128">
        <v>5</v>
      </c>
      <c r="R11" s="128">
        <v>5</v>
      </c>
      <c r="S11" s="128">
        <v>44</v>
      </c>
      <c r="T11" s="128">
        <v>27</v>
      </c>
      <c r="U11" s="128">
        <v>9</v>
      </c>
      <c r="V11" s="128">
        <v>3</v>
      </c>
      <c r="W11" s="128">
        <v>57</v>
      </c>
      <c r="X11" s="129">
        <v>10</v>
      </c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</row>
    <row r="12" spans="1:49" s="104" customFormat="1" x14ac:dyDescent="0.55000000000000004">
      <c r="A12" s="102" t="s">
        <v>51</v>
      </c>
      <c r="B12" s="103">
        <v>2566</v>
      </c>
      <c r="C12" s="143">
        <f t="shared" ref="C12" si="0">SUM(D12:G12)</f>
        <v>99840</v>
      </c>
      <c r="D12" s="146">
        <v>81912</v>
      </c>
      <c r="E12" s="144">
        <v>13883</v>
      </c>
      <c r="F12" s="144">
        <v>2209</v>
      </c>
      <c r="G12" s="144">
        <v>1836</v>
      </c>
      <c r="H12" s="130">
        <v>90</v>
      </c>
      <c r="I12" s="130">
        <v>90</v>
      </c>
      <c r="J12" s="130">
        <v>20</v>
      </c>
      <c r="K12" s="119"/>
      <c r="L12" s="119" t="s">
        <v>55</v>
      </c>
      <c r="M12" s="128" t="s">
        <v>75</v>
      </c>
      <c r="N12" s="119">
        <v>0</v>
      </c>
      <c r="O12" s="121">
        <v>8</v>
      </c>
      <c r="P12" s="121">
        <v>6</v>
      </c>
      <c r="Q12" s="121">
        <v>7</v>
      </c>
      <c r="R12" s="121">
        <v>8</v>
      </c>
      <c r="S12" s="121">
        <v>80</v>
      </c>
      <c r="T12" s="121">
        <v>43</v>
      </c>
      <c r="U12" s="121">
        <v>5</v>
      </c>
      <c r="V12" s="121">
        <v>5</v>
      </c>
      <c r="W12" s="121">
        <v>93</v>
      </c>
      <c r="X12" s="121">
        <v>4</v>
      </c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1"/>
    </row>
    <row r="13" spans="1:49" s="46" customFormat="1" x14ac:dyDescent="0.55000000000000004">
      <c r="A13" s="107" t="s">
        <v>65</v>
      </c>
      <c r="B13" s="68">
        <v>2566</v>
      </c>
      <c r="C13" s="143">
        <f t="shared" ref="C13" si="1">SUM(D13:G13)</f>
        <v>76624</v>
      </c>
      <c r="D13" s="144">
        <v>66557</v>
      </c>
      <c r="E13" s="144">
        <v>5885</v>
      </c>
      <c r="F13" s="144">
        <v>3563</v>
      </c>
      <c r="G13" s="144">
        <v>619</v>
      </c>
      <c r="H13" s="108">
        <v>40</v>
      </c>
      <c r="I13" s="108">
        <v>40</v>
      </c>
      <c r="J13" s="108">
        <v>10</v>
      </c>
      <c r="K13" s="109">
        <v>1</v>
      </c>
      <c r="L13" s="109" t="s">
        <v>60</v>
      </c>
      <c r="M13" s="110" t="s">
        <v>72</v>
      </c>
      <c r="N13" s="111">
        <v>0</v>
      </c>
      <c r="O13" s="111">
        <v>7</v>
      </c>
      <c r="P13" s="111">
        <v>0</v>
      </c>
      <c r="Q13" s="109">
        <v>5</v>
      </c>
      <c r="R13" s="109">
        <v>5</v>
      </c>
      <c r="S13" s="109">
        <v>53</v>
      </c>
      <c r="T13" s="109">
        <v>28</v>
      </c>
      <c r="U13" s="109">
        <v>5</v>
      </c>
      <c r="V13" s="109">
        <v>4</v>
      </c>
      <c r="W13" s="109">
        <v>48</v>
      </c>
      <c r="X13" s="113">
        <v>9</v>
      </c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</row>
    <row r="14" spans="1:49" s="46" customFormat="1" x14ac:dyDescent="0.55000000000000004">
      <c r="A14" s="62" t="s">
        <v>52</v>
      </c>
      <c r="B14" s="103">
        <v>2566</v>
      </c>
      <c r="C14" s="143">
        <v>37277</v>
      </c>
      <c r="D14" s="141">
        <v>29003</v>
      </c>
      <c r="E14" s="141">
        <v>6073</v>
      </c>
      <c r="F14" s="141">
        <v>2200</v>
      </c>
      <c r="G14" s="141">
        <v>544</v>
      </c>
      <c r="H14" s="134">
        <v>30</v>
      </c>
      <c r="I14" s="134">
        <v>30</v>
      </c>
      <c r="J14" s="134">
        <v>16</v>
      </c>
      <c r="K14" s="133" t="s">
        <v>66</v>
      </c>
      <c r="L14" s="134" t="s">
        <v>60</v>
      </c>
      <c r="M14" s="110" t="s">
        <v>76</v>
      </c>
      <c r="N14" s="135">
        <v>1</v>
      </c>
      <c r="O14" s="135">
        <v>5</v>
      </c>
      <c r="P14" s="135">
        <f>-Q99</f>
        <v>0</v>
      </c>
      <c r="Q14" s="134">
        <v>4</v>
      </c>
      <c r="R14" s="134">
        <v>5</v>
      </c>
      <c r="S14" s="134">
        <v>36</v>
      </c>
      <c r="T14" s="134">
        <v>16</v>
      </c>
      <c r="U14" s="134">
        <v>0</v>
      </c>
      <c r="V14" s="134">
        <v>4</v>
      </c>
      <c r="W14" s="134">
        <v>48</v>
      </c>
      <c r="X14" s="113">
        <v>33</v>
      </c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</row>
    <row r="15" spans="1:49" x14ac:dyDescent="0.55000000000000004">
      <c r="A15" s="50"/>
      <c r="B15" s="52"/>
      <c r="C15" s="51"/>
      <c r="D15" s="51"/>
      <c r="E15" s="51"/>
      <c r="F15" s="51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49" x14ac:dyDescent="0.55000000000000004">
      <c r="A16" s="53" t="s">
        <v>18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5" x14ac:dyDescent="0.55000000000000004">
      <c r="A17" s="57" t="s">
        <v>19</v>
      </c>
      <c r="B17" s="58"/>
      <c r="C17" s="59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5" x14ac:dyDescent="0.55000000000000004">
      <c r="A18" s="60" t="s">
        <v>48</v>
      </c>
      <c r="B18" s="54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5" x14ac:dyDescent="0.55000000000000004">
      <c r="B19" s="54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5" x14ac:dyDescent="0.55000000000000004"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5" x14ac:dyDescent="0.55000000000000004"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5" x14ac:dyDescent="0.55000000000000004">
      <c r="B22" s="54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5" x14ac:dyDescent="0.55000000000000004">
      <c r="B23" s="54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5" x14ac:dyDescent="0.55000000000000004">
      <c r="B24" s="54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5" x14ac:dyDescent="0.55000000000000004">
      <c r="B25" s="54"/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5" x14ac:dyDescent="0.55000000000000004">
      <c r="B26" s="54"/>
      <c r="C26" s="55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5" x14ac:dyDescent="0.55000000000000004">
      <c r="B27" s="54"/>
      <c r="C27" s="55"/>
      <c r="D27" s="56"/>
      <c r="E27" s="56"/>
      <c r="F27" s="56"/>
      <c r="G27" s="56"/>
      <c r="H27" s="56"/>
      <c r="I27" s="56"/>
      <c r="J27" s="56"/>
      <c r="K27" s="56"/>
      <c r="L27" s="56"/>
      <c r="M27" s="56"/>
      <c r="O27" s="112"/>
    </row>
    <row r="28" spans="1:15" x14ac:dyDescent="0.55000000000000004">
      <c r="B28" s="54"/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55000000000000004">
      <c r="B29" s="54"/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5" x14ac:dyDescent="0.55000000000000004">
      <c r="B30" s="54"/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5" x14ac:dyDescent="0.55000000000000004">
      <c r="B31" s="54"/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5" x14ac:dyDescent="0.55000000000000004">
      <c r="B32" s="54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2:13" x14ac:dyDescent="0.55000000000000004">
      <c r="B33" s="54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2:13" x14ac:dyDescent="0.55000000000000004">
      <c r="B34" s="54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2:13" x14ac:dyDescent="0.55000000000000004">
      <c r="B35" s="54"/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2:13" x14ac:dyDescent="0.55000000000000004">
      <c r="B36" s="54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2:13" x14ac:dyDescent="0.55000000000000004">
      <c r="B37" s="54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2:13" x14ac:dyDescent="0.55000000000000004">
      <c r="B38" s="54"/>
      <c r="C38" s="55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2:13" x14ac:dyDescent="0.55000000000000004">
      <c r="B39" s="54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2:13" x14ac:dyDescent="0.55000000000000004">
      <c r="B40" s="54"/>
      <c r="C40" s="55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2:13" x14ac:dyDescent="0.55000000000000004">
      <c r="B41" s="54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2:13" x14ac:dyDescent="0.55000000000000004">
      <c r="B42" s="54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2:13" x14ac:dyDescent="0.55000000000000004">
      <c r="B43" s="54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2:13" x14ac:dyDescent="0.55000000000000004">
      <c r="B44" s="54"/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2:13" x14ac:dyDescent="0.55000000000000004">
      <c r="B45" s="54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2:13" x14ac:dyDescent="0.55000000000000004">
      <c r="B46" s="54"/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7" spans="2:13" x14ac:dyDescent="0.55000000000000004">
      <c r="B47" s="54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</row>
    <row r="48" spans="2:13" x14ac:dyDescent="0.55000000000000004">
      <c r="B48" s="54"/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</row>
    <row r="49" spans="2:13" x14ac:dyDescent="0.55000000000000004">
      <c r="B49" s="54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</row>
    <row r="50" spans="2:13" x14ac:dyDescent="0.55000000000000004">
      <c r="B50" s="54"/>
      <c r="C50" s="55"/>
      <c r="D50" s="56"/>
      <c r="E50" s="56"/>
      <c r="F50" s="56"/>
      <c r="G50" s="56"/>
      <c r="H50" s="56"/>
      <c r="I50" s="56"/>
      <c r="J50" s="56"/>
      <c r="K50" s="56"/>
      <c r="L50" s="56"/>
      <c r="M50" s="56"/>
    </row>
    <row r="51" spans="2:13" x14ac:dyDescent="0.55000000000000004">
      <c r="B51" s="54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</row>
    <row r="52" spans="2:13" x14ac:dyDescent="0.55000000000000004"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</row>
    <row r="53" spans="2:13" x14ac:dyDescent="0.55000000000000004"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2:13" x14ac:dyDescent="0.55000000000000004"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</row>
  </sheetData>
  <mergeCells count="26">
    <mergeCell ref="A5:A8"/>
    <mergeCell ref="B5:B8"/>
    <mergeCell ref="C5:C8"/>
    <mergeCell ref="D5:G5"/>
    <mergeCell ref="H5:J5"/>
    <mergeCell ref="O5:X5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K5:N5"/>
    <mergeCell ref="M6:M8"/>
    <mergeCell ref="N6:N8"/>
    <mergeCell ref="O6:T6"/>
    <mergeCell ref="U6:U8"/>
    <mergeCell ref="V6:V8"/>
    <mergeCell ref="O7:P7"/>
    <mergeCell ref="Q7:Q8"/>
    <mergeCell ref="R7:R8"/>
    <mergeCell ref="S7:S8"/>
    <mergeCell ref="T7:T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W22"/>
  <sheetViews>
    <sheetView tabSelected="1" zoomScale="70" zoomScaleNormal="7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G25" sqref="G25"/>
    </sheetView>
  </sheetViews>
  <sheetFormatPr defaultColWidth="8.875" defaultRowHeight="24" x14ac:dyDescent="0.55000000000000004"/>
  <cols>
    <col min="1" max="1" width="40.625" style="1" customWidth="1"/>
    <col min="2" max="2" width="11.75" style="1" customWidth="1"/>
    <col min="3" max="3" width="12.125" style="22" customWidth="1"/>
    <col min="4" max="4" width="16.125" style="1" bestFit="1" customWidth="1"/>
    <col min="5" max="5" width="11.375" style="1" bestFit="1" customWidth="1"/>
    <col min="6" max="6" width="13.375" style="1" bestFit="1" customWidth="1"/>
    <col min="7" max="7" width="11.625" style="1" bestFit="1" customWidth="1"/>
    <col min="8" max="8" width="11.125" style="22" bestFit="1" customWidth="1"/>
    <col min="9" max="9" width="11.125" style="1" bestFit="1" customWidth="1"/>
    <col min="10" max="10" width="9.875" style="1" customWidth="1"/>
    <col min="11" max="11" width="11.75" style="1" customWidth="1"/>
    <col min="12" max="12" width="12.375" style="1" bestFit="1" customWidth="1"/>
    <col min="13" max="13" width="11.125" style="19" bestFit="1" customWidth="1"/>
    <col min="14" max="14" width="12.375" style="2" bestFit="1" customWidth="1"/>
    <col min="15" max="15" width="11.125" style="2" customWidth="1"/>
    <col min="16" max="16" width="11.625" style="2" customWidth="1"/>
    <col min="17" max="17" width="12.375" style="2" bestFit="1" customWidth="1"/>
    <col min="18" max="18" width="15.875" style="19" customWidth="1"/>
    <col min="19" max="19" width="15.875" style="2" customWidth="1"/>
    <col min="20" max="20" width="12.625" style="2" bestFit="1" customWidth="1"/>
    <col min="21" max="21" width="14.375" style="2" customWidth="1"/>
    <col min="22" max="27" width="13.125" style="2" customWidth="1"/>
    <col min="28" max="29" width="13.125" style="87" customWidth="1"/>
    <col min="30" max="75" width="8.875" style="88"/>
    <col min="76" max="16384" width="8.875" style="1"/>
  </cols>
  <sheetData>
    <row r="1" spans="1:75" x14ac:dyDescent="0.55000000000000004">
      <c r="K1" s="32"/>
      <c r="U1" s="32"/>
      <c r="AA1" s="32"/>
    </row>
    <row r="2" spans="1:75" ht="27.75" x14ac:dyDescent="0.65">
      <c r="A2" s="77" t="s">
        <v>54</v>
      </c>
      <c r="B2" s="30"/>
      <c r="M2" s="30"/>
      <c r="S2" s="86"/>
      <c r="V2" s="37"/>
      <c r="W2" s="30"/>
    </row>
    <row r="3" spans="1:75" ht="27.75" x14ac:dyDescent="0.65">
      <c r="A3" s="30"/>
      <c r="B3" s="30"/>
      <c r="M3" s="30"/>
      <c r="V3" s="30"/>
      <c r="W3" s="30"/>
    </row>
    <row r="4" spans="1:75" ht="24.75" thickBot="1" x14ac:dyDescent="0.6">
      <c r="A4" s="64" t="s">
        <v>73</v>
      </c>
      <c r="B4" s="64"/>
      <c r="C4" s="65"/>
      <c r="D4" s="66"/>
      <c r="E4" s="66"/>
      <c r="F4" s="66"/>
      <c r="M4" s="33"/>
      <c r="N4" s="3"/>
      <c r="O4" s="3"/>
      <c r="P4" s="3"/>
      <c r="V4" s="35"/>
      <c r="W4" s="36"/>
      <c r="X4" s="36"/>
      <c r="Y4" s="36"/>
    </row>
    <row r="5" spans="1:75" ht="24.75" thickBot="1" x14ac:dyDescent="0.6">
      <c r="A5" s="177" t="s">
        <v>1</v>
      </c>
      <c r="B5" s="177" t="s">
        <v>15</v>
      </c>
      <c r="C5" s="183" t="s">
        <v>16</v>
      </c>
      <c r="D5" s="184"/>
      <c r="E5" s="184"/>
      <c r="F5" s="184"/>
      <c r="G5" s="185"/>
      <c r="H5" s="180" t="s">
        <v>2</v>
      </c>
      <c r="I5" s="181"/>
      <c r="J5" s="181"/>
      <c r="K5" s="181"/>
      <c r="L5" s="182"/>
      <c r="M5" s="180" t="s">
        <v>2</v>
      </c>
      <c r="N5" s="181"/>
      <c r="O5" s="181"/>
      <c r="P5" s="181"/>
      <c r="Q5" s="181"/>
      <c r="R5" s="181"/>
      <c r="S5" s="181"/>
      <c r="T5" s="181"/>
      <c r="U5" s="182"/>
      <c r="V5" s="180" t="s">
        <v>2</v>
      </c>
      <c r="W5" s="181"/>
      <c r="X5" s="181"/>
      <c r="Y5" s="181"/>
      <c r="Z5" s="181"/>
      <c r="AA5" s="182"/>
      <c r="AB5" s="89"/>
      <c r="AC5" s="89"/>
    </row>
    <row r="6" spans="1:75" ht="24.75" thickBot="1" x14ac:dyDescent="0.6">
      <c r="A6" s="178"/>
      <c r="B6" s="178"/>
      <c r="C6" s="186"/>
      <c r="D6" s="187"/>
      <c r="E6" s="187"/>
      <c r="F6" s="187"/>
      <c r="G6" s="188"/>
      <c r="H6" s="191" t="s">
        <v>8</v>
      </c>
      <c r="I6" s="192"/>
      <c r="J6" s="192"/>
      <c r="K6" s="192"/>
      <c r="L6" s="193"/>
      <c r="M6" s="197" t="s">
        <v>9</v>
      </c>
      <c r="N6" s="198"/>
      <c r="O6" s="198"/>
      <c r="P6" s="198"/>
      <c r="Q6" s="199"/>
      <c r="R6" s="200" t="s">
        <v>17</v>
      </c>
      <c r="S6" s="201"/>
      <c r="T6" s="201"/>
      <c r="U6" s="201"/>
      <c r="V6" s="202"/>
      <c r="W6" s="194" t="s">
        <v>14</v>
      </c>
      <c r="X6" s="195"/>
      <c r="Y6" s="195"/>
      <c r="Z6" s="195"/>
      <c r="AA6" s="196"/>
      <c r="AB6" s="90"/>
      <c r="AC6" s="90"/>
    </row>
    <row r="7" spans="1:75" x14ac:dyDescent="0.55000000000000004">
      <c r="A7" s="178"/>
      <c r="B7" s="178"/>
      <c r="C7" s="189" t="s">
        <v>3</v>
      </c>
      <c r="D7" s="177" t="s">
        <v>4</v>
      </c>
      <c r="E7" s="177" t="s">
        <v>7</v>
      </c>
      <c r="F7" s="177" t="s">
        <v>5</v>
      </c>
      <c r="G7" s="177" t="s">
        <v>6</v>
      </c>
      <c r="H7" s="7" t="s">
        <v>10</v>
      </c>
      <c r="I7" s="6" t="s">
        <v>0</v>
      </c>
      <c r="J7" s="14" t="s">
        <v>11</v>
      </c>
      <c r="K7" s="10" t="s">
        <v>12</v>
      </c>
      <c r="L7" s="12" t="s">
        <v>13</v>
      </c>
      <c r="M7" s="7" t="s">
        <v>10</v>
      </c>
      <c r="N7" s="6" t="s">
        <v>0</v>
      </c>
      <c r="O7" s="14" t="s">
        <v>11</v>
      </c>
      <c r="P7" s="10" t="s">
        <v>12</v>
      </c>
      <c r="Q7" s="12" t="s">
        <v>13</v>
      </c>
      <c r="R7" s="7" t="s">
        <v>10</v>
      </c>
      <c r="S7" s="6" t="s">
        <v>0</v>
      </c>
      <c r="T7" s="14" t="s">
        <v>11</v>
      </c>
      <c r="U7" s="10" t="s">
        <v>12</v>
      </c>
      <c r="V7" s="12" t="s">
        <v>13</v>
      </c>
      <c r="W7" s="7" t="s">
        <v>10</v>
      </c>
      <c r="X7" s="6" t="s">
        <v>0</v>
      </c>
      <c r="Y7" s="14" t="s">
        <v>11</v>
      </c>
      <c r="Z7" s="10" t="s">
        <v>12</v>
      </c>
      <c r="AA7" s="12" t="s">
        <v>13</v>
      </c>
      <c r="AB7" s="90"/>
      <c r="AC7" s="90"/>
    </row>
    <row r="8" spans="1:75" ht="15" customHeight="1" thickBot="1" x14ac:dyDescent="0.6">
      <c r="A8" s="179"/>
      <c r="B8" s="179"/>
      <c r="C8" s="190"/>
      <c r="D8" s="179"/>
      <c r="E8" s="179"/>
      <c r="F8" s="179"/>
      <c r="G8" s="179"/>
      <c r="H8" s="8"/>
      <c r="I8" s="9"/>
      <c r="J8" s="15"/>
      <c r="K8" s="11"/>
      <c r="L8" s="13"/>
      <c r="M8" s="8"/>
      <c r="N8" s="9"/>
      <c r="O8" s="15"/>
      <c r="P8" s="11"/>
      <c r="Q8" s="13"/>
      <c r="R8" s="8"/>
      <c r="S8" s="9"/>
      <c r="T8" s="15"/>
      <c r="U8" s="11"/>
      <c r="V8" s="13"/>
      <c r="W8" s="8"/>
      <c r="X8" s="9"/>
      <c r="Y8" s="15"/>
      <c r="Z8" s="11"/>
      <c r="AA8" s="13"/>
      <c r="AB8" s="90"/>
      <c r="AC8" s="90"/>
    </row>
    <row r="9" spans="1:75" s="71" customFormat="1" x14ac:dyDescent="0.55000000000000004">
      <c r="A9" s="83" t="s">
        <v>58</v>
      </c>
      <c r="B9" s="70">
        <v>2566</v>
      </c>
      <c r="C9" s="80">
        <f>SUM(D9:G9)</f>
        <v>234413</v>
      </c>
      <c r="D9" s="74">
        <f>49102+'[1]2.ข้อมูลการให้บริการ'!$D$9</f>
        <v>148699</v>
      </c>
      <c r="E9" s="74">
        <f>9355+'[1]2.ข้อมูลการให้บริการ'!$E$9</f>
        <v>28094</v>
      </c>
      <c r="F9" s="74">
        <f>14362+'[1]2.ข้อมูลการให้บริการ'!$F$9</f>
        <v>42988</v>
      </c>
      <c r="G9" s="74">
        <f>5010+'[1]2.ข้อมูลการให้บริการ'!$G$9</f>
        <v>14632</v>
      </c>
      <c r="H9" s="81">
        <f>SUM(I9:L9)</f>
        <v>20224</v>
      </c>
      <c r="I9" s="73">
        <f>5252+'[1]2.ข้อมูลการให้บริการ'!$I$9</f>
        <v>16010</v>
      </c>
      <c r="J9" s="74">
        <f>481+'[1]2.ข้อมูลการให้บริการ'!$J$9</f>
        <v>1390</v>
      </c>
      <c r="K9" s="74">
        <f>597+'[1]2.ข้อมูลการให้บริการ'!$K$9</f>
        <v>1848</v>
      </c>
      <c r="L9" s="74">
        <f>321+'[1]2.ข้อมูลการให้บริการ'!$L$9</f>
        <v>976</v>
      </c>
      <c r="M9" s="81">
        <f>SUM(N9:Q9)</f>
        <v>80161</v>
      </c>
      <c r="N9" s="74">
        <f>20885+'[1]2.ข้อมูลการให้บริการ'!$N$9</f>
        <v>62728</v>
      </c>
      <c r="O9" s="74">
        <f>1767+'[1]2.ข้อมูลการให้บริการ'!$O$9</f>
        <v>5119</v>
      </c>
      <c r="P9" s="74">
        <f>2388+'[1]2.ข้อมูลการให้บริการ'!$P$9</f>
        <v>7393</v>
      </c>
      <c r="Q9" s="74">
        <f>1566+'[1]2.ข้อมูลการให้บริการ'!$Q$9</f>
        <v>4921</v>
      </c>
      <c r="R9" s="82">
        <f>SUM(S9:V9)</f>
        <v>27633.518199999999</v>
      </c>
      <c r="S9" s="78">
        <f>7046.06+'[1]2.ข้อมูลการให้บริการ'!$S$9</f>
        <v>21114.677899999999</v>
      </c>
      <c r="T9" s="78">
        <f>625.07+'[1]2.ข้อมูลการให้บริการ'!$T$9</f>
        <v>1808.8823000000002</v>
      </c>
      <c r="U9" s="78">
        <f>882.83+'[1]2.ข้อมูลการให้บริการ'!$U$9</f>
        <v>2698.6514999999999</v>
      </c>
      <c r="V9" s="78">
        <f>631.96+'[1]2.ข้อมูลการให้บริการ'!$V$9</f>
        <v>2011.3065000000001</v>
      </c>
      <c r="W9" s="79">
        <f>R9/H9</f>
        <v>1.3663725375791138</v>
      </c>
      <c r="X9" s="79">
        <f t="shared" ref="X9:AA14" si="0">S9/I9</f>
        <v>1.3188430918176139</v>
      </c>
      <c r="Y9" s="79">
        <f t="shared" si="0"/>
        <v>1.3013541726618707</v>
      </c>
      <c r="Z9" s="79">
        <f t="shared" si="0"/>
        <v>1.4603092532467532</v>
      </c>
      <c r="AA9" s="79">
        <f t="shared" si="0"/>
        <v>2.0607648565573773</v>
      </c>
      <c r="AB9" s="91"/>
      <c r="AC9" s="91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</row>
    <row r="10" spans="1:75" s="71" customFormat="1" x14ac:dyDescent="0.55000000000000004">
      <c r="A10" s="84" t="s">
        <v>63</v>
      </c>
      <c r="B10" s="70">
        <v>2566</v>
      </c>
      <c r="C10" s="80">
        <f t="shared" ref="C10:C14" si="1">SUM(D10:G10)</f>
        <v>99413</v>
      </c>
      <c r="D10" s="122">
        <f>15444+51733</f>
        <v>67177</v>
      </c>
      <c r="E10" s="122">
        <f>4238+3558</f>
        <v>7796</v>
      </c>
      <c r="F10" s="122">
        <f>6886+8259</f>
        <v>15145</v>
      </c>
      <c r="G10" s="122">
        <f>4207+5088</f>
        <v>9295</v>
      </c>
      <c r="H10" s="81">
        <f t="shared" ref="H10:H14" si="2">SUM(I10:L10)</f>
        <v>3904</v>
      </c>
      <c r="I10" s="123">
        <f>1109+2277</f>
        <v>3386</v>
      </c>
      <c r="J10" s="123">
        <f>35+80</f>
        <v>115</v>
      </c>
      <c r="K10" s="123">
        <f>74+165</f>
        <v>239</v>
      </c>
      <c r="L10" s="123">
        <f>61+103</f>
        <v>164</v>
      </c>
      <c r="M10" s="81">
        <f t="shared" ref="M10:M14" si="3">SUM(N10:Q10)</f>
        <v>12730</v>
      </c>
      <c r="N10" s="123">
        <f>3667+7432</f>
        <v>11099</v>
      </c>
      <c r="O10" s="123">
        <f>117+248</f>
        <v>365</v>
      </c>
      <c r="P10" s="123">
        <f>253+613</f>
        <v>866</v>
      </c>
      <c r="Q10" s="123">
        <f>150+250</f>
        <v>400</v>
      </c>
      <c r="R10" s="82">
        <f t="shared" ref="R10:R14" si="4">SUM(S10:V10)</f>
        <v>2930.1399999999994</v>
      </c>
      <c r="S10" s="124">
        <f>816.96+1715.86</f>
        <v>2532.8199999999997</v>
      </c>
      <c r="T10" s="124">
        <f>25.17+56.7</f>
        <v>81.87</v>
      </c>
      <c r="U10" s="124">
        <f>60.76+147.74</f>
        <v>208.5</v>
      </c>
      <c r="V10" s="124">
        <f>40.74+66.21</f>
        <v>106.94999999999999</v>
      </c>
      <c r="W10" s="79">
        <f t="shared" ref="W10:W14" si="5">R10/H10</f>
        <v>0.75054815573770473</v>
      </c>
      <c r="X10" s="79">
        <f t="shared" si="0"/>
        <v>0.74802717070289415</v>
      </c>
      <c r="Y10" s="79">
        <f t="shared" si="0"/>
        <v>0.7119130434782609</v>
      </c>
      <c r="Z10" s="79">
        <f t="shared" si="0"/>
        <v>0.87238493723849375</v>
      </c>
      <c r="AA10" s="79">
        <f t="shared" si="0"/>
        <v>0.65213414634146338</v>
      </c>
      <c r="AB10" s="91"/>
      <c r="AC10" s="91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</row>
    <row r="11" spans="1:75" s="71" customFormat="1" x14ac:dyDescent="0.55000000000000004">
      <c r="A11" s="85" t="s">
        <v>62</v>
      </c>
      <c r="B11" s="70">
        <v>2566</v>
      </c>
      <c r="C11" s="80">
        <f t="shared" si="1"/>
        <v>70661</v>
      </c>
      <c r="D11" s="125">
        <f>17983+36581</f>
        <v>54564</v>
      </c>
      <c r="E11" s="125">
        <f>1223+2457</f>
        <v>3680</v>
      </c>
      <c r="F11" s="125">
        <f>2386+4642</f>
        <v>7028</v>
      </c>
      <c r="G11" s="125">
        <f>901+4488</f>
        <v>5389</v>
      </c>
      <c r="H11" s="81">
        <f t="shared" si="2"/>
        <v>2449</v>
      </c>
      <c r="I11" s="125">
        <f>705+1400</f>
        <v>2105</v>
      </c>
      <c r="J11" s="125">
        <f>40+74</f>
        <v>114</v>
      </c>
      <c r="K11" s="125">
        <f>49+99</f>
        <v>148</v>
      </c>
      <c r="L11" s="125">
        <f>30+52</f>
        <v>82</v>
      </c>
      <c r="M11" s="81">
        <f t="shared" si="3"/>
        <v>9340</v>
      </c>
      <c r="N11" s="125">
        <f>2689+5448</f>
        <v>8137</v>
      </c>
      <c r="O11" s="125">
        <f>117+216</f>
        <v>333</v>
      </c>
      <c r="P11" s="125">
        <f>200+440</f>
        <v>640</v>
      </c>
      <c r="Q11" s="125">
        <f>92+138</f>
        <v>230</v>
      </c>
      <c r="R11" s="82">
        <f t="shared" si="4"/>
        <v>1651.79</v>
      </c>
      <c r="S11" s="126">
        <f>481.34+952.89</f>
        <v>1434.23</v>
      </c>
      <c r="T11" s="126">
        <f>29.23+44.63</f>
        <v>73.86</v>
      </c>
      <c r="U11" s="126">
        <f>38.02+90.85</f>
        <v>128.87</v>
      </c>
      <c r="V11" s="127">
        <f>6.22+8.61</f>
        <v>14.829999999999998</v>
      </c>
      <c r="W11" s="79">
        <f t="shared" si="5"/>
        <v>0.67447529603919965</v>
      </c>
      <c r="X11" s="79">
        <f t="shared" si="0"/>
        <v>0.68134441805225654</v>
      </c>
      <c r="Y11" s="79">
        <f t="shared" si="0"/>
        <v>0.6478947368421053</v>
      </c>
      <c r="Z11" s="79">
        <f t="shared" si="0"/>
        <v>0.87074324324324326</v>
      </c>
      <c r="AA11" s="79">
        <f t="shared" si="0"/>
        <v>0.18085365853658533</v>
      </c>
      <c r="AB11" s="91"/>
      <c r="AC11" s="91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</row>
    <row r="12" spans="1:75" s="71" customFormat="1" x14ac:dyDescent="0.55000000000000004">
      <c r="A12" s="84" t="s">
        <v>51</v>
      </c>
      <c r="B12" s="70">
        <v>2566</v>
      </c>
      <c r="C12" s="80">
        <f t="shared" si="1"/>
        <v>122576</v>
      </c>
      <c r="D12" s="125">
        <f>34118+61129</f>
        <v>95247</v>
      </c>
      <c r="E12" s="125">
        <f>1719+3204</f>
        <v>4923</v>
      </c>
      <c r="F12" s="125">
        <f>4175+7235</f>
        <v>11410</v>
      </c>
      <c r="G12" s="125">
        <f>3993+7003</f>
        <v>10996</v>
      </c>
      <c r="H12" s="81">
        <f t="shared" si="2"/>
        <v>5910</v>
      </c>
      <c r="I12" s="125">
        <f>1634+3439</f>
        <v>5073</v>
      </c>
      <c r="J12" s="125">
        <f>55+123</f>
        <v>178</v>
      </c>
      <c r="K12" s="125">
        <f>110+240</f>
        <v>350</v>
      </c>
      <c r="L12" s="125">
        <f>93+216</f>
        <v>309</v>
      </c>
      <c r="M12" s="81">
        <f t="shared" si="3"/>
        <v>21918</v>
      </c>
      <c r="N12" s="131">
        <f>6325+12958</f>
        <v>19283</v>
      </c>
      <c r="O12" s="131">
        <f>136+399</f>
        <v>535</v>
      </c>
      <c r="P12" s="131">
        <f>395+836</f>
        <v>1231</v>
      </c>
      <c r="Q12" s="131">
        <f>260+609</f>
        <v>869</v>
      </c>
      <c r="R12" s="82">
        <f t="shared" si="4"/>
        <v>4693.2855</v>
      </c>
      <c r="S12" s="132">
        <f>1327.263+2730.0433</f>
        <v>4057.3062999999997</v>
      </c>
      <c r="T12" s="132">
        <f>40.932+94.1006</f>
        <v>135.0326</v>
      </c>
      <c r="U12" s="132">
        <f>100.313+203.5552</f>
        <v>303.8682</v>
      </c>
      <c r="V12" s="132">
        <f>56.2397+140.8387</f>
        <v>197.07839999999999</v>
      </c>
      <c r="W12" s="79">
        <f t="shared" si="5"/>
        <v>0.79412614213197974</v>
      </c>
      <c r="X12" s="79">
        <f t="shared" si="0"/>
        <v>0.79978440764833425</v>
      </c>
      <c r="Y12" s="79">
        <f t="shared" si="0"/>
        <v>0.75861011235955056</v>
      </c>
      <c r="Z12" s="79">
        <f t="shared" si="0"/>
        <v>0.86819485714285716</v>
      </c>
      <c r="AA12" s="79">
        <f t="shared" si="0"/>
        <v>0.63779417475728151</v>
      </c>
      <c r="AB12" s="91"/>
      <c r="AC12" s="91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</row>
    <row r="13" spans="1:75" s="97" customFormat="1" x14ac:dyDescent="0.55000000000000004">
      <c r="A13" s="99" t="s">
        <v>65</v>
      </c>
      <c r="B13" s="70">
        <v>2566</v>
      </c>
      <c r="C13" s="80">
        <f t="shared" si="1"/>
        <v>46024</v>
      </c>
      <c r="D13" s="114">
        <f>19496+20486</f>
        <v>39982</v>
      </c>
      <c r="E13" s="114">
        <f>950+883</f>
        <v>1833</v>
      </c>
      <c r="F13" s="114">
        <f>1657+1615</f>
        <v>3272</v>
      </c>
      <c r="G13" s="115">
        <f>476+461</f>
        <v>937</v>
      </c>
      <c r="H13" s="81">
        <f t="shared" si="2"/>
        <v>1765</v>
      </c>
      <c r="I13" s="116">
        <f>716+879</f>
        <v>1595</v>
      </c>
      <c r="J13" s="114">
        <f>25+24</f>
        <v>49</v>
      </c>
      <c r="K13" s="114">
        <f>42+53</f>
        <v>95</v>
      </c>
      <c r="L13" s="114">
        <f>14+12</f>
        <v>26</v>
      </c>
      <c r="M13" s="81">
        <f t="shared" si="3"/>
        <v>5590</v>
      </c>
      <c r="N13" s="114">
        <f>2373+2753</f>
        <v>5126</v>
      </c>
      <c r="O13" s="114">
        <f>61+50</f>
        <v>111</v>
      </c>
      <c r="P13" s="114">
        <f>138+158</f>
        <v>296</v>
      </c>
      <c r="Q13" s="114">
        <f>30+27</f>
        <v>57</v>
      </c>
      <c r="R13" s="82">
        <f t="shared" si="4"/>
        <v>1076.7448999999999</v>
      </c>
      <c r="S13" s="117">
        <f>441.353+524.7279</f>
        <v>966.08089999999993</v>
      </c>
      <c r="T13" s="118">
        <f>14.5995+11.3892</f>
        <v>25.988700000000001</v>
      </c>
      <c r="U13" s="118">
        <f>30.0981+36.0456</f>
        <v>66.143699999999995</v>
      </c>
      <c r="V13" s="118">
        <f>6.82490000000001+11.7067</f>
        <v>18.531600000000012</v>
      </c>
      <c r="W13" s="79">
        <f t="shared" si="5"/>
        <v>0.61005376770538244</v>
      </c>
      <c r="X13" s="79">
        <f t="shared" si="0"/>
        <v>0.6056933542319749</v>
      </c>
      <c r="Y13" s="79">
        <f t="shared" si="0"/>
        <v>0.53038163265306126</v>
      </c>
      <c r="Z13" s="79">
        <f t="shared" si="0"/>
        <v>0.69624947368421053</v>
      </c>
      <c r="AA13" s="79">
        <f t="shared" si="0"/>
        <v>0.71275384615384663</v>
      </c>
      <c r="AB13" s="56"/>
      <c r="AC13" s="56"/>
    </row>
    <row r="14" spans="1:75" s="72" customFormat="1" x14ac:dyDescent="0.55000000000000004">
      <c r="A14" s="102" t="s">
        <v>67</v>
      </c>
      <c r="B14" s="70">
        <v>2566</v>
      </c>
      <c r="C14" s="80">
        <f t="shared" si="1"/>
        <v>53551</v>
      </c>
      <c r="D14" s="136">
        <f>14279+28669</f>
        <v>42948</v>
      </c>
      <c r="E14" s="136">
        <f>843+1690</f>
        <v>2533</v>
      </c>
      <c r="F14" s="136">
        <f>1773+3499</f>
        <v>5272</v>
      </c>
      <c r="G14" s="136">
        <f>996+1802</f>
        <v>2798</v>
      </c>
      <c r="H14" s="81">
        <f t="shared" si="2"/>
        <v>1742</v>
      </c>
      <c r="I14" s="137">
        <f>495+972</f>
        <v>1467</v>
      </c>
      <c r="J14" s="138">
        <f>17+30</f>
        <v>47</v>
      </c>
      <c r="K14" s="138">
        <f>45+86</f>
        <v>131</v>
      </c>
      <c r="L14" s="138">
        <f>16+81</f>
        <v>97</v>
      </c>
      <c r="M14" s="81">
        <f t="shared" si="3"/>
        <v>6467</v>
      </c>
      <c r="N14" s="138">
        <f>1882+3610</f>
        <v>5492</v>
      </c>
      <c r="O14" s="138">
        <f>80+112</f>
        <v>192</v>
      </c>
      <c r="P14" s="138">
        <f>209+464</f>
        <v>673</v>
      </c>
      <c r="Q14" s="136">
        <f>36+74</f>
        <v>110</v>
      </c>
      <c r="R14" s="82">
        <f t="shared" si="4"/>
        <v>1259.4462999999998</v>
      </c>
      <c r="S14" s="139">
        <f>313.5836+797.3161</f>
        <v>1110.8996999999999</v>
      </c>
      <c r="T14" s="139">
        <f>15.9993+30.4389</f>
        <v>46.438200000000002</v>
      </c>
      <c r="U14" s="139">
        <f>21.149+63.9773</f>
        <v>85.126300000000001</v>
      </c>
      <c r="V14" s="139">
        <f>4.461+12.5211</f>
        <v>16.982100000000003</v>
      </c>
      <c r="W14" s="79">
        <f t="shared" si="5"/>
        <v>0.72298869115958664</v>
      </c>
      <c r="X14" s="79">
        <f t="shared" si="0"/>
        <v>0.757259509202454</v>
      </c>
      <c r="Y14" s="79">
        <f t="shared" si="0"/>
        <v>0.98804680851063831</v>
      </c>
      <c r="Z14" s="79">
        <f t="shared" si="0"/>
        <v>0.64981908396946564</v>
      </c>
      <c r="AA14" s="79">
        <f t="shared" si="0"/>
        <v>0.1750731958762887</v>
      </c>
      <c r="AB14" s="93"/>
      <c r="AC14" s="93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</row>
    <row r="15" spans="1:75" x14ac:dyDescent="0.55000000000000004">
      <c r="A15" s="34"/>
      <c r="B15" s="4"/>
      <c r="C15" s="25" t="s">
        <v>18</v>
      </c>
      <c r="D15" s="17"/>
      <c r="E15" s="17"/>
      <c r="F15" s="17"/>
      <c r="G15" s="17"/>
      <c r="H15" s="20"/>
      <c r="I15" s="17"/>
      <c r="J15" s="17"/>
      <c r="K15" s="17"/>
      <c r="L15" s="17"/>
      <c r="M15" s="25" t="s">
        <v>18</v>
      </c>
      <c r="N15" s="18"/>
      <c r="O15" s="18"/>
      <c r="P15" s="18"/>
      <c r="Q15" s="18"/>
      <c r="R15" s="23"/>
      <c r="S15" s="16"/>
      <c r="T15" s="16"/>
      <c r="U15" s="16"/>
      <c r="V15" s="25" t="s">
        <v>18</v>
      </c>
    </row>
    <row r="16" spans="1:75" x14ac:dyDescent="0.55000000000000004">
      <c r="A16" s="34"/>
      <c r="B16" s="4"/>
      <c r="C16" s="24" t="s">
        <v>19</v>
      </c>
      <c r="D16" s="26"/>
      <c r="E16" s="26"/>
      <c r="F16" s="26"/>
      <c r="G16" s="26"/>
      <c r="H16" s="27"/>
      <c r="I16" s="26"/>
      <c r="J16" s="26"/>
      <c r="K16" s="26"/>
      <c r="L16" s="26"/>
      <c r="M16" s="24" t="s">
        <v>19</v>
      </c>
      <c r="S16" s="28"/>
      <c r="T16" s="28"/>
      <c r="U16" s="28"/>
      <c r="V16" s="24" t="s">
        <v>19</v>
      </c>
    </row>
    <row r="17" spans="1:75" x14ac:dyDescent="0.55000000000000004">
      <c r="A17" s="22"/>
      <c r="B17" s="4"/>
      <c r="C17" s="22" t="s">
        <v>20</v>
      </c>
      <c r="D17" s="5"/>
      <c r="E17" s="5"/>
      <c r="F17" s="5"/>
      <c r="G17" s="5"/>
      <c r="H17" s="21"/>
      <c r="I17" s="5"/>
      <c r="J17" s="5"/>
      <c r="K17" s="5"/>
      <c r="L17" s="5"/>
      <c r="M17" s="22" t="s">
        <v>20</v>
      </c>
      <c r="V17" s="22" t="s">
        <v>20</v>
      </c>
    </row>
    <row r="18" spans="1:75" s="22" customFormat="1" x14ac:dyDescent="0.55000000000000004">
      <c r="A18" s="31"/>
      <c r="B18" s="29"/>
      <c r="C18" s="31" t="s">
        <v>21</v>
      </c>
      <c r="D18" s="21"/>
      <c r="E18" s="21"/>
      <c r="F18" s="21"/>
      <c r="G18" s="21"/>
      <c r="H18" s="21"/>
      <c r="I18" s="21"/>
      <c r="J18" s="21"/>
      <c r="K18" s="21"/>
      <c r="L18" s="21"/>
      <c r="M18" s="31" t="s">
        <v>21</v>
      </c>
      <c r="N18" s="19"/>
      <c r="O18" s="19"/>
      <c r="P18" s="19"/>
      <c r="Q18" s="19"/>
      <c r="R18" s="19"/>
      <c r="S18" s="19"/>
      <c r="T18" s="19"/>
      <c r="U18" s="19"/>
      <c r="V18" s="31" t="s">
        <v>21</v>
      </c>
      <c r="W18" s="19"/>
      <c r="X18" s="19"/>
      <c r="Y18" s="19"/>
      <c r="Z18" s="19"/>
      <c r="AA18" s="19"/>
      <c r="AB18" s="95"/>
      <c r="AC18" s="95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</row>
    <row r="19" spans="1:75" x14ac:dyDescent="0.55000000000000004">
      <c r="A19" s="4"/>
      <c r="B19" s="5"/>
      <c r="C19" s="21"/>
      <c r="D19" s="5"/>
      <c r="E19" s="5"/>
      <c r="F19" s="5"/>
      <c r="G19" s="5"/>
      <c r="H19" s="21"/>
      <c r="I19" s="5"/>
      <c r="J19" s="5"/>
      <c r="K19" s="5"/>
      <c r="L19" s="5"/>
    </row>
    <row r="20" spans="1:75" x14ac:dyDescent="0.55000000000000004">
      <c r="A20" s="4"/>
      <c r="B20" s="5"/>
      <c r="C20" s="21"/>
      <c r="D20" s="5"/>
      <c r="E20" s="5"/>
      <c r="F20" s="5"/>
      <c r="G20" s="5"/>
      <c r="H20" s="21"/>
      <c r="I20" s="5"/>
      <c r="J20" s="5"/>
      <c r="K20" s="5"/>
      <c r="L20" s="5"/>
    </row>
    <row r="21" spans="1:75" x14ac:dyDescent="0.55000000000000004">
      <c r="A21" s="4"/>
      <c r="B21" s="5"/>
      <c r="C21" s="21"/>
      <c r="D21" s="5"/>
      <c r="E21" s="5"/>
      <c r="F21" s="5"/>
      <c r="G21" s="5"/>
      <c r="H21" s="21"/>
      <c r="I21" s="5"/>
      <c r="J21" s="5"/>
      <c r="K21" s="5"/>
      <c r="L21" s="5"/>
    </row>
    <row r="22" spans="1:75" x14ac:dyDescent="0.55000000000000004">
      <c r="J22" s="32" t="s">
        <v>70</v>
      </c>
    </row>
  </sheetData>
  <mergeCells count="15"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  <mergeCell ref="W6:AA6"/>
    <mergeCell ref="M6:Q6"/>
    <mergeCell ref="R6:V6"/>
  </mergeCells>
  <phoneticPr fontId="0" type="noConversion"/>
  <printOptions horizontalCentered="1"/>
  <pageMargins left="0.51181102362204722" right="0.51181102362204722" top="0.35433070866141736" bottom="0.35433070866141736" header="0.11811023622047245" footer="0.11811023622047245"/>
  <pageSetup paperSize="9" scale="8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UC 3900</cp:lastModifiedBy>
  <cp:lastPrinted>2023-01-30T03:10:16Z</cp:lastPrinted>
  <dcterms:created xsi:type="dcterms:W3CDTF">2012-12-20T13:33:16Z</dcterms:created>
  <dcterms:modified xsi:type="dcterms:W3CDTF">2023-04-11T06:23:25Z</dcterms:modified>
</cp:coreProperties>
</file>