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UNGTHIP2019\RUNGTHIP65\UCปี65\ส่งปรับเกลี่ยปี 65\"/>
    </mc:Choice>
  </mc:AlternateContent>
  <xr:revisionPtr revIDLastSave="0" documentId="13_ncr:1_{C892EE5F-34DB-405D-887B-9BC4A82E27A7}" xr6:coauthVersionLast="47" xr6:coauthVersionMax="47" xr10:uidLastSave="{00000000-0000-0000-0000-000000000000}"/>
  <bookViews>
    <workbookView xWindow="-110" yWindow="-110" windowWidth="19420" windowHeight="10420" tabRatio="927" activeTab="3" xr2:uid="{7B5890D3-62BA-41A6-A7C2-B7C14CEED78A}"/>
  </bookViews>
  <sheets>
    <sheet name="1เงินกันระดับเขต" sheetId="12" r:id="rId1"/>
    <sheet name="2งบปรับเกลี่ยเงินกันระดับเขต8" sheetId="13" r:id="rId2"/>
    <sheet name="3เพิ่มค่า K" sheetId="9" r:id="rId3"/>
    <sheet name="4สรุปช่วยK" sheetId="18" r:id="rId4"/>
    <sheet name="5SheetคำนวณK" sheetId="16" r:id="rId5"/>
  </sheets>
  <externalReferences>
    <externalReference r:id="rId6"/>
  </externalReferences>
  <definedNames>
    <definedName name="_xlnm._FilterDatabase" localSheetId="4" hidden="1">'5SheetคำนวณK'!$A$9:$AK$104</definedName>
    <definedName name="_xlnm.Print_Titles" localSheetId="3">'4สรุปช่วยK'!$2:$4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8" l="1"/>
  <c r="P17" i="18"/>
  <c r="P12" i="18"/>
  <c r="P8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5" i="18"/>
  <c r="P13" i="18" l="1"/>
  <c r="Q13" i="18" s="1"/>
  <c r="R13" i="18" s="1"/>
  <c r="P18" i="18"/>
  <c r="Q18" i="18" s="1"/>
  <c r="R18" i="18" s="1"/>
  <c r="B9" i="13"/>
  <c r="Q11" i="18"/>
  <c r="R11" i="18" s="1"/>
  <c r="Q17" i="18"/>
  <c r="R17" i="18" s="1"/>
  <c r="Q19" i="18"/>
  <c r="R19" i="18" s="1"/>
  <c r="P7" i="18"/>
  <c r="Q7" i="18" s="1"/>
  <c r="R7" i="18" s="1"/>
  <c r="Q8" i="18"/>
  <c r="R8" i="18" s="1"/>
  <c r="P16" i="18"/>
  <c r="Q16" i="18" s="1"/>
  <c r="R16" i="18" s="1"/>
  <c r="P23" i="18" l="1"/>
  <c r="Q23" i="18" s="1"/>
  <c r="R23" i="18" s="1"/>
  <c r="P15" i="18"/>
  <c r="Q15" i="18" s="1"/>
  <c r="R15" i="18" s="1"/>
  <c r="P10" i="18"/>
  <c r="Q10" i="18" s="1"/>
  <c r="R10" i="18" s="1"/>
  <c r="Q12" i="18"/>
  <c r="R12" i="18" s="1"/>
  <c r="P9" i="18"/>
  <c r="Q9" i="18" s="1"/>
  <c r="R9" i="18" s="1"/>
  <c r="P22" i="18"/>
  <c r="Q22" i="18" s="1"/>
  <c r="R22" i="18" s="1"/>
  <c r="P14" i="18"/>
  <c r="Q14" i="18" s="1"/>
  <c r="R14" i="18" s="1"/>
  <c r="P6" i="18"/>
  <c r="Q6" i="18" s="1"/>
  <c r="R6" i="18" s="1"/>
  <c r="Q20" i="18"/>
  <c r="R20" i="18" s="1"/>
  <c r="P24" i="18"/>
  <c r="Q24" i="18" s="1"/>
  <c r="R24" i="18" s="1"/>
  <c r="P21" i="18"/>
  <c r="Q21" i="18" s="1"/>
  <c r="R21" i="18" s="1"/>
  <c r="J25" i="18" l="1"/>
  <c r="P5" i="18"/>
  <c r="I105" i="16"/>
  <c r="AH104" i="16"/>
  <c r="AG104" i="16"/>
  <c r="AE104" i="16"/>
  <c r="Z104" i="16"/>
  <c r="X104" i="16"/>
  <c r="P104" i="16"/>
  <c r="O104" i="16"/>
  <c r="N104" i="16"/>
  <c r="K104" i="16"/>
  <c r="AI103" i="16"/>
  <c r="AB103" i="16"/>
  <c r="V103" i="16"/>
  <c r="U103" i="16"/>
  <c r="S103" i="16"/>
  <c r="R103" i="16"/>
  <c r="M103" i="16"/>
  <c r="L103" i="16"/>
  <c r="J103" i="16"/>
  <c r="AI102" i="16"/>
  <c r="AB102" i="16"/>
  <c r="V102" i="16"/>
  <c r="U102" i="16"/>
  <c r="S102" i="16"/>
  <c r="R102" i="16"/>
  <c r="M102" i="16"/>
  <c r="L102" i="16"/>
  <c r="J102" i="16"/>
  <c r="AI101" i="16"/>
  <c r="AB101" i="16"/>
  <c r="V101" i="16"/>
  <c r="U101" i="16"/>
  <c r="S101" i="16"/>
  <c r="R101" i="16"/>
  <c r="M101" i="16"/>
  <c r="L101" i="16"/>
  <c r="J101" i="16"/>
  <c r="AI100" i="16"/>
  <c r="AB100" i="16"/>
  <c r="V100" i="16"/>
  <c r="U100" i="16"/>
  <c r="S100" i="16"/>
  <c r="R100" i="16"/>
  <c r="M100" i="16"/>
  <c r="L100" i="16"/>
  <c r="J100" i="16"/>
  <c r="AI99" i="16"/>
  <c r="AB99" i="16"/>
  <c r="V99" i="16"/>
  <c r="U99" i="16"/>
  <c r="S99" i="16"/>
  <c r="R99" i="16"/>
  <c r="M99" i="16"/>
  <c r="L99" i="16"/>
  <c r="J99" i="16"/>
  <c r="AI98" i="16"/>
  <c r="AB98" i="16"/>
  <c r="V98" i="16"/>
  <c r="U98" i="16"/>
  <c r="S98" i="16"/>
  <c r="R98" i="16"/>
  <c r="M98" i="16"/>
  <c r="L98" i="16"/>
  <c r="J98" i="16"/>
  <c r="AI97" i="16"/>
  <c r="AB97" i="16"/>
  <c r="V97" i="16"/>
  <c r="U97" i="16"/>
  <c r="S97" i="16"/>
  <c r="R97" i="16"/>
  <c r="M97" i="16"/>
  <c r="L97" i="16"/>
  <c r="J97" i="16"/>
  <c r="AI96" i="16"/>
  <c r="AB96" i="16"/>
  <c r="V96" i="16"/>
  <c r="U96" i="16"/>
  <c r="S96" i="16"/>
  <c r="R96" i="16"/>
  <c r="M96" i="16"/>
  <c r="L96" i="16"/>
  <c r="J96" i="16"/>
  <c r="AI95" i="16"/>
  <c r="AB95" i="16"/>
  <c r="V95" i="16"/>
  <c r="U95" i="16"/>
  <c r="S95" i="16"/>
  <c r="R95" i="16"/>
  <c r="M95" i="16"/>
  <c r="L95" i="16"/>
  <c r="J95" i="16"/>
  <c r="AI94" i="16"/>
  <c r="AB94" i="16"/>
  <c r="V94" i="16"/>
  <c r="U94" i="16"/>
  <c r="S94" i="16"/>
  <c r="R94" i="16"/>
  <c r="M94" i="16"/>
  <c r="L94" i="16"/>
  <c r="J94" i="16"/>
  <c r="AI93" i="16"/>
  <c r="AB93" i="16"/>
  <c r="V93" i="16"/>
  <c r="U93" i="16"/>
  <c r="S93" i="16"/>
  <c r="R93" i="16"/>
  <c r="M93" i="16"/>
  <c r="L93" i="16"/>
  <c r="J93" i="16"/>
  <c r="AI92" i="16"/>
  <c r="AB92" i="16"/>
  <c r="V92" i="16"/>
  <c r="U92" i="16"/>
  <c r="S92" i="16"/>
  <c r="R92" i="16"/>
  <c r="M92" i="16"/>
  <c r="L92" i="16"/>
  <c r="J92" i="16"/>
  <c r="AH91" i="16"/>
  <c r="AG91" i="16"/>
  <c r="AE91" i="16"/>
  <c r="Z91" i="16"/>
  <c r="X91" i="16"/>
  <c r="P91" i="16"/>
  <c r="O91" i="16"/>
  <c r="N91" i="16"/>
  <c r="K91" i="16"/>
  <c r="AI90" i="16"/>
  <c r="AB90" i="16"/>
  <c r="V90" i="16"/>
  <c r="U90" i="16"/>
  <c r="S90" i="16"/>
  <c r="R90" i="16"/>
  <c r="M90" i="16"/>
  <c r="L90" i="16"/>
  <c r="J90" i="16"/>
  <c r="AI89" i="16"/>
  <c r="AB89" i="16"/>
  <c r="V89" i="16"/>
  <c r="U89" i="16"/>
  <c r="S89" i="16"/>
  <c r="R89" i="16"/>
  <c r="M89" i="16"/>
  <c r="L89" i="16"/>
  <c r="J89" i="16"/>
  <c r="AI88" i="16"/>
  <c r="AB88" i="16"/>
  <c r="V88" i="16"/>
  <c r="U88" i="16"/>
  <c r="S88" i="16"/>
  <c r="R88" i="16"/>
  <c r="M88" i="16"/>
  <c r="L88" i="16"/>
  <c r="J88" i="16"/>
  <c r="AI87" i="16"/>
  <c r="AB87" i="16"/>
  <c r="V87" i="16"/>
  <c r="U87" i="16"/>
  <c r="S87" i="16"/>
  <c r="R87" i="16"/>
  <c r="M87" i="16"/>
  <c r="L87" i="16"/>
  <c r="J87" i="16"/>
  <c r="AI86" i="16"/>
  <c r="AB86" i="16"/>
  <c r="V86" i="16"/>
  <c r="U86" i="16"/>
  <c r="S86" i="16"/>
  <c r="R86" i="16"/>
  <c r="M86" i="16"/>
  <c r="L86" i="16"/>
  <c r="J86" i="16"/>
  <c r="AI85" i="16"/>
  <c r="AB85" i="16"/>
  <c r="V85" i="16"/>
  <c r="U85" i="16"/>
  <c r="S85" i="16"/>
  <c r="R85" i="16"/>
  <c r="M85" i="16"/>
  <c r="L85" i="16"/>
  <c r="J85" i="16"/>
  <c r="AI84" i="16"/>
  <c r="AB84" i="16"/>
  <c r="V84" i="16"/>
  <c r="U84" i="16"/>
  <c r="S84" i="16"/>
  <c r="R84" i="16"/>
  <c r="M84" i="16"/>
  <c r="L84" i="16"/>
  <c r="J84" i="16"/>
  <c r="AI83" i="16"/>
  <c r="AB83" i="16"/>
  <c r="V83" i="16"/>
  <c r="U83" i="16"/>
  <c r="S83" i="16"/>
  <c r="R83" i="16"/>
  <c r="M83" i="16"/>
  <c r="L83" i="16"/>
  <c r="J83" i="16"/>
  <c r="AI82" i="16"/>
  <c r="AB82" i="16"/>
  <c r="V82" i="16"/>
  <c r="U82" i="16"/>
  <c r="S82" i="16"/>
  <c r="R82" i="16"/>
  <c r="M82" i="16"/>
  <c r="L82" i="16"/>
  <c r="J82" i="16"/>
  <c r="AI81" i="16"/>
  <c r="AB81" i="16"/>
  <c r="V81" i="16"/>
  <c r="U81" i="16"/>
  <c r="S81" i="16"/>
  <c r="R81" i="16"/>
  <c r="M81" i="16"/>
  <c r="L81" i="16"/>
  <c r="J81" i="16"/>
  <c r="AI80" i="16"/>
  <c r="AB80" i="16"/>
  <c r="V80" i="16"/>
  <c r="U80" i="16"/>
  <c r="S80" i="16"/>
  <c r="R80" i="16"/>
  <c r="M80" i="16"/>
  <c r="L80" i="16"/>
  <c r="J80" i="16"/>
  <c r="AI79" i="16"/>
  <c r="AB79" i="16"/>
  <c r="V79" i="16"/>
  <c r="U79" i="16"/>
  <c r="S79" i="16"/>
  <c r="R79" i="16"/>
  <c r="M79" i="16"/>
  <c r="L79" i="16"/>
  <c r="J79" i="16"/>
  <c r="AI78" i="16"/>
  <c r="AB78" i="16"/>
  <c r="V78" i="16"/>
  <c r="U78" i="16"/>
  <c r="S78" i="16"/>
  <c r="R78" i="16"/>
  <c r="M78" i="16"/>
  <c r="L78" i="16"/>
  <c r="J78" i="16"/>
  <c r="AI77" i="16"/>
  <c r="AB77" i="16"/>
  <c r="V77" i="16"/>
  <c r="U77" i="16"/>
  <c r="S77" i="16"/>
  <c r="R77" i="16"/>
  <c r="M77" i="16"/>
  <c r="L77" i="16"/>
  <c r="J77" i="16"/>
  <c r="AI76" i="16"/>
  <c r="AB76" i="16"/>
  <c r="V76" i="16"/>
  <c r="U76" i="16"/>
  <c r="S76" i="16"/>
  <c r="R76" i="16"/>
  <c r="M76" i="16"/>
  <c r="L76" i="16"/>
  <c r="J76" i="16"/>
  <c r="AI75" i="16"/>
  <c r="AB75" i="16"/>
  <c r="V75" i="16"/>
  <c r="U75" i="16"/>
  <c r="S75" i="16"/>
  <c r="R75" i="16"/>
  <c r="M75" i="16"/>
  <c r="L75" i="16"/>
  <c r="J75" i="16"/>
  <c r="AI74" i="16"/>
  <c r="AB74" i="16"/>
  <c r="V74" i="16"/>
  <c r="U74" i="16"/>
  <c r="S74" i="16"/>
  <c r="R74" i="16"/>
  <c r="M74" i="16"/>
  <c r="L74" i="16"/>
  <c r="J74" i="16"/>
  <c r="AI73" i="16"/>
  <c r="AB73" i="16"/>
  <c r="V73" i="16"/>
  <c r="U73" i="16"/>
  <c r="S73" i="16"/>
  <c r="R73" i="16"/>
  <c r="M73" i="16"/>
  <c r="L73" i="16"/>
  <c r="J73" i="16"/>
  <c r="AH72" i="16"/>
  <c r="AG72" i="16"/>
  <c r="AE72" i="16"/>
  <c r="Z72" i="16"/>
  <c r="X72" i="16"/>
  <c r="P72" i="16"/>
  <c r="O72" i="16"/>
  <c r="N72" i="16"/>
  <c r="K72" i="16"/>
  <c r="AI71" i="16"/>
  <c r="AB71" i="16"/>
  <c r="V71" i="16"/>
  <c r="U71" i="16"/>
  <c r="S71" i="16"/>
  <c r="R71" i="16"/>
  <c r="M71" i="16"/>
  <c r="L71" i="16"/>
  <c r="J71" i="16"/>
  <c r="AI70" i="16"/>
  <c r="AB70" i="16"/>
  <c r="V70" i="16"/>
  <c r="U70" i="16"/>
  <c r="S70" i="16"/>
  <c r="R70" i="16"/>
  <c r="M70" i="16"/>
  <c r="L70" i="16"/>
  <c r="J70" i="16"/>
  <c r="AI69" i="16"/>
  <c r="AB69" i="16"/>
  <c r="V69" i="16"/>
  <c r="U69" i="16"/>
  <c r="S69" i="16"/>
  <c r="R69" i="16"/>
  <c r="M69" i="16"/>
  <c r="L69" i="16"/>
  <c r="J69" i="16"/>
  <c r="AI68" i="16"/>
  <c r="AB68" i="16"/>
  <c r="V68" i="16"/>
  <c r="U68" i="16"/>
  <c r="S68" i="16"/>
  <c r="R68" i="16"/>
  <c r="M68" i="16"/>
  <c r="L68" i="16"/>
  <c r="J68" i="16"/>
  <c r="AI67" i="16"/>
  <c r="AB67" i="16"/>
  <c r="V67" i="16"/>
  <c r="U67" i="16"/>
  <c r="S67" i="16"/>
  <c r="R67" i="16"/>
  <c r="M67" i="16"/>
  <c r="L67" i="16"/>
  <c r="J67" i="16"/>
  <c r="AI66" i="16"/>
  <c r="AB66" i="16"/>
  <c r="V66" i="16"/>
  <c r="U66" i="16"/>
  <c r="S66" i="16"/>
  <c r="R66" i="16"/>
  <c r="M66" i="16"/>
  <c r="L66" i="16"/>
  <c r="J66" i="16"/>
  <c r="AI65" i="16"/>
  <c r="AB65" i="16"/>
  <c r="V65" i="16"/>
  <c r="U65" i="16"/>
  <c r="S65" i="16"/>
  <c r="R65" i="16"/>
  <c r="M65" i="16"/>
  <c r="L65" i="16"/>
  <c r="J65" i="16"/>
  <c r="AI64" i="16"/>
  <c r="AB64" i="16"/>
  <c r="V64" i="16"/>
  <c r="U64" i="16"/>
  <c r="S64" i="16"/>
  <c r="R64" i="16"/>
  <c r="M64" i="16"/>
  <c r="L64" i="16"/>
  <c r="J64" i="16"/>
  <c r="AI63" i="16"/>
  <c r="AB63" i="16"/>
  <c r="V63" i="16"/>
  <c r="U63" i="16"/>
  <c r="S63" i="16"/>
  <c r="R63" i="16"/>
  <c r="M63" i="16"/>
  <c r="L63" i="16"/>
  <c r="J63" i="16"/>
  <c r="AH62" i="16"/>
  <c r="AG62" i="16"/>
  <c r="AE62" i="16"/>
  <c r="Z62" i="16"/>
  <c r="X62" i="16"/>
  <c r="P62" i="16"/>
  <c r="O62" i="16"/>
  <c r="N62" i="16"/>
  <c r="K62" i="16"/>
  <c r="AI61" i="16"/>
  <c r="AB61" i="16"/>
  <c r="V61" i="16"/>
  <c r="U61" i="16"/>
  <c r="S61" i="16"/>
  <c r="R61" i="16"/>
  <c r="M61" i="16"/>
  <c r="L61" i="16"/>
  <c r="J61" i="16"/>
  <c r="AI60" i="16"/>
  <c r="AB60" i="16"/>
  <c r="V60" i="16"/>
  <c r="U60" i="16"/>
  <c r="S60" i="16"/>
  <c r="R60" i="16"/>
  <c r="M60" i="16"/>
  <c r="L60" i="16"/>
  <c r="J60" i="16"/>
  <c r="AI59" i="16"/>
  <c r="AB59" i="16"/>
  <c r="V59" i="16"/>
  <c r="U59" i="16"/>
  <c r="S59" i="16"/>
  <c r="R59" i="16"/>
  <c r="M59" i="16"/>
  <c r="L59" i="16"/>
  <c r="J59" i="16"/>
  <c r="AI58" i="16"/>
  <c r="AB58" i="16"/>
  <c r="V58" i="16"/>
  <c r="U58" i="16"/>
  <c r="S58" i="16"/>
  <c r="R58" i="16"/>
  <c r="M58" i="16"/>
  <c r="L58" i="16"/>
  <c r="J58" i="16"/>
  <c r="AI57" i="16"/>
  <c r="AB57" i="16"/>
  <c r="V57" i="16"/>
  <c r="U57" i="16"/>
  <c r="S57" i="16"/>
  <c r="R57" i="16"/>
  <c r="M57" i="16"/>
  <c r="L57" i="16"/>
  <c r="J57" i="16"/>
  <c r="AI56" i="16"/>
  <c r="AB56" i="16"/>
  <c r="V56" i="16"/>
  <c r="U56" i="16"/>
  <c r="S56" i="16"/>
  <c r="R56" i="16"/>
  <c r="M56" i="16"/>
  <c r="L56" i="16"/>
  <c r="J56" i="16"/>
  <c r="AI55" i="16"/>
  <c r="AB55" i="16"/>
  <c r="V55" i="16"/>
  <c r="U55" i="16"/>
  <c r="S55" i="16"/>
  <c r="R55" i="16"/>
  <c r="M55" i="16"/>
  <c r="L55" i="16"/>
  <c r="J55" i="16"/>
  <c r="AI54" i="16"/>
  <c r="AB54" i="16"/>
  <c r="V54" i="16"/>
  <c r="U54" i="16"/>
  <c r="S54" i="16"/>
  <c r="R54" i="16"/>
  <c r="M54" i="16"/>
  <c r="L54" i="16"/>
  <c r="J54" i="16"/>
  <c r="AI53" i="16"/>
  <c r="AB53" i="16"/>
  <c r="V53" i="16"/>
  <c r="U53" i="16"/>
  <c r="S53" i="16"/>
  <c r="R53" i="16"/>
  <c r="M53" i="16"/>
  <c r="L53" i="16"/>
  <c r="J53" i="16"/>
  <c r="AI52" i="16"/>
  <c r="AB52" i="16"/>
  <c r="V52" i="16"/>
  <c r="U52" i="16"/>
  <c r="S52" i="16"/>
  <c r="R52" i="16"/>
  <c r="M52" i="16"/>
  <c r="L52" i="16"/>
  <c r="J52" i="16"/>
  <c r="AI51" i="16"/>
  <c r="AB51" i="16"/>
  <c r="V51" i="16"/>
  <c r="U51" i="16"/>
  <c r="S51" i="16"/>
  <c r="R51" i="16"/>
  <c r="M51" i="16"/>
  <c r="L51" i="16"/>
  <c r="J51" i="16"/>
  <c r="AI50" i="16"/>
  <c r="AB50" i="16"/>
  <c r="V50" i="16"/>
  <c r="U50" i="16"/>
  <c r="S50" i="16"/>
  <c r="R50" i="16"/>
  <c r="M50" i="16"/>
  <c r="L50" i="16"/>
  <c r="J50" i="16"/>
  <c r="AI49" i="16"/>
  <c r="AB49" i="16"/>
  <c r="V49" i="16"/>
  <c r="U49" i="16"/>
  <c r="S49" i="16"/>
  <c r="R49" i="16"/>
  <c r="M49" i="16"/>
  <c r="L49" i="16"/>
  <c r="J49" i="16"/>
  <c r="AI48" i="16"/>
  <c r="AB48" i="16"/>
  <c r="V48" i="16"/>
  <c r="U48" i="16"/>
  <c r="S48" i="16"/>
  <c r="R48" i="16"/>
  <c r="M48" i="16"/>
  <c r="L48" i="16"/>
  <c r="J48" i="16"/>
  <c r="AH47" i="16"/>
  <c r="AG47" i="16"/>
  <c r="AE47" i="16"/>
  <c r="Z47" i="16"/>
  <c r="X47" i="16"/>
  <c r="P47" i="16"/>
  <c r="O47" i="16"/>
  <c r="N47" i="16"/>
  <c r="K47" i="16"/>
  <c r="AI46" i="16"/>
  <c r="AB46" i="16"/>
  <c r="V46" i="16"/>
  <c r="U46" i="16"/>
  <c r="S46" i="16"/>
  <c r="R46" i="16"/>
  <c r="M46" i="16"/>
  <c r="L46" i="16"/>
  <c r="J46" i="16"/>
  <c r="AI45" i="16"/>
  <c r="AB45" i="16"/>
  <c r="V45" i="16"/>
  <c r="U45" i="16"/>
  <c r="S45" i="16"/>
  <c r="R45" i="16"/>
  <c r="M45" i="16"/>
  <c r="L45" i="16"/>
  <c r="J45" i="16"/>
  <c r="AI44" i="16"/>
  <c r="AB44" i="16"/>
  <c r="V44" i="16"/>
  <c r="U44" i="16"/>
  <c r="S44" i="16"/>
  <c r="R44" i="16"/>
  <c r="M44" i="16"/>
  <c r="L44" i="16"/>
  <c r="J44" i="16"/>
  <c r="AI43" i="16"/>
  <c r="AB43" i="16"/>
  <c r="V43" i="16"/>
  <c r="U43" i="16"/>
  <c r="S43" i="16"/>
  <c r="R43" i="16"/>
  <c r="M43" i="16"/>
  <c r="L43" i="16"/>
  <c r="J43" i="16"/>
  <c r="AI42" i="16"/>
  <c r="AB42" i="16"/>
  <c r="V42" i="16"/>
  <c r="U42" i="16"/>
  <c r="S42" i="16"/>
  <c r="R42" i="16"/>
  <c r="M42" i="16"/>
  <c r="L42" i="16"/>
  <c r="J42" i="16"/>
  <c r="AI41" i="16"/>
  <c r="AB41" i="16"/>
  <c r="V41" i="16"/>
  <c r="U41" i="16"/>
  <c r="S41" i="16"/>
  <c r="R41" i="16"/>
  <c r="M41" i="16"/>
  <c r="L41" i="16"/>
  <c r="J41" i="16"/>
  <c r="AI40" i="16"/>
  <c r="AB40" i="16"/>
  <c r="V40" i="16"/>
  <c r="U40" i="16"/>
  <c r="S40" i="16"/>
  <c r="R40" i="16"/>
  <c r="M40" i="16"/>
  <c r="L40" i="16"/>
  <c r="J40" i="16"/>
  <c r="AI39" i="16"/>
  <c r="AB39" i="16"/>
  <c r="V39" i="16"/>
  <c r="U39" i="16"/>
  <c r="S39" i="16"/>
  <c r="R39" i="16"/>
  <c r="M39" i="16"/>
  <c r="L39" i="16"/>
  <c r="J39" i="16"/>
  <c r="AI38" i="16"/>
  <c r="AB38" i="16"/>
  <c r="V38" i="16"/>
  <c r="U38" i="16"/>
  <c r="S38" i="16"/>
  <c r="R38" i="16"/>
  <c r="M38" i="16"/>
  <c r="L38" i="16"/>
  <c r="J38" i="16"/>
  <c r="AI37" i="16"/>
  <c r="AB37" i="16"/>
  <c r="V37" i="16"/>
  <c r="U37" i="16"/>
  <c r="S37" i="16"/>
  <c r="R37" i="16"/>
  <c r="M37" i="16"/>
  <c r="L37" i="16"/>
  <c r="J37" i="16"/>
  <c r="AI36" i="16"/>
  <c r="AB36" i="16"/>
  <c r="V36" i="16"/>
  <c r="U36" i="16"/>
  <c r="S36" i="16"/>
  <c r="R36" i="16"/>
  <c r="M36" i="16"/>
  <c r="L36" i="16"/>
  <c r="J36" i="16"/>
  <c r="AI35" i="16"/>
  <c r="AB35" i="16"/>
  <c r="V35" i="16"/>
  <c r="U35" i="16"/>
  <c r="S35" i="16"/>
  <c r="R35" i="16"/>
  <c r="M35" i="16"/>
  <c r="L35" i="16"/>
  <c r="J35" i="16"/>
  <c r="AI34" i="16"/>
  <c r="AB34" i="16"/>
  <c r="V34" i="16"/>
  <c r="U34" i="16"/>
  <c r="S34" i="16"/>
  <c r="R34" i="16"/>
  <c r="M34" i="16"/>
  <c r="L34" i="16"/>
  <c r="J34" i="16"/>
  <c r="AI33" i="16"/>
  <c r="AB33" i="16"/>
  <c r="V33" i="16"/>
  <c r="U33" i="16"/>
  <c r="S33" i="16"/>
  <c r="R33" i="16"/>
  <c r="M33" i="16"/>
  <c r="L33" i="16"/>
  <c r="J33" i="16"/>
  <c r="AI32" i="16"/>
  <c r="AB32" i="16"/>
  <c r="V32" i="16"/>
  <c r="U32" i="16"/>
  <c r="S32" i="16"/>
  <c r="R32" i="16"/>
  <c r="M32" i="16"/>
  <c r="L32" i="16"/>
  <c r="J32" i="16"/>
  <c r="AI31" i="16"/>
  <c r="AB31" i="16"/>
  <c r="V31" i="16"/>
  <c r="U31" i="16"/>
  <c r="S31" i="16"/>
  <c r="R31" i="16"/>
  <c r="M31" i="16"/>
  <c r="L31" i="16"/>
  <c r="J31" i="16"/>
  <c r="AI30" i="16"/>
  <c r="AB30" i="16"/>
  <c r="V30" i="16"/>
  <c r="U30" i="16"/>
  <c r="S30" i="16"/>
  <c r="R30" i="16"/>
  <c r="M30" i="16"/>
  <c r="L30" i="16"/>
  <c r="J30" i="16"/>
  <c r="AI29" i="16"/>
  <c r="AB29" i="16"/>
  <c r="V29" i="16"/>
  <c r="U29" i="16"/>
  <c r="S29" i="16"/>
  <c r="R29" i="16"/>
  <c r="M29" i="16"/>
  <c r="L29" i="16"/>
  <c r="J29" i="16"/>
  <c r="AI28" i="16"/>
  <c r="AB28" i="16"/>
  <c r="V28" i="16"/>
  <c r="U28" i="16"/>
  <c r="S28" i="16"/>
  <c r="R28" i="16"/>
  <c r="M28" i="16"/>
  <c r="L28" i="16"/>
  <c r="J28" i="16"/>
  <c r="AI27" i="16"/>
  <c r="AB27" i="16"/>
  <c r="V27" i="16"/>
  <c r="U27" i="16"/>
  <c r="S27" i="16"/>
  <c r="R27" i="16"/>
  <c r="M27" i="16"/>
  <c r="L27" i="16"/>
  <c r="J27" i="16"/>
  <c r="AI26" i="16"/>
  <c r="AB26" i="16"/>
  <c r="V26" i="16"/>
  <c r="U26" i="16"/>
  <c r="S26" i="16"/>
  <c r="R26" i="16"/>
  <c r="M26" i="16"/>
  <c r="L26" i="16"/>
  <c r="J26" i="16"/>
  <c r="AH25" i="16"/>
  <c r="AG25" i="16"/>
  <c r="AE25" i="16"/>
  <c r="Z25" i="16"/>
  <c r="X25" i="16"/>
  <c r="P25" i="16"/>
  <c r="O25" i="16"/>
  <c r="N25" i="16"/>
  <c r="K25" i="16"/>
  <c r="AI24" i="16"/>
  <c r="AB24" i="16"/>
  <c r="V24" i="16"/>
  <c r="U24" i="16"/>
  <c r="S24" i="16"/>
  <c r="R24" i="16"/>
  <c r="M24" i="16"/>
  <c r="L24" i="16"/>
  <c r="J24" i="16"/>
  <c r="AI23" i="16"/>
  <c r="AB23" i="16"/>
  <c r="V23" i="16"/>
  <c r="U23" i="16"/>
  <c r="S23" i="16"/>
  <c r="R23" i="16"/>
  <c r="M23" i="16"/>
  <c r="L23" i="16"/>
  <c r="J23" i="16"/>
  <c r="AI22" i="16"/>
  <c r="AB22" i="16"/>
  <c r="V22" i="16"/>
  <c r="U22" i="16"/>
  <c r="S22" i="16"/>
  <c r="R22" i="16"/>
  <c r="M22" i="16"/>
  <c r="L22" i="16"/>
  <c r="J22" i="16"/>
  <c r="AI21" i="16"/>
  <c r="AB21" i="16"/>
  <c r="V21" i="16"/>
  <c r="U21" i="16"/>
  <c r="S21" i="16"/>
  <c r="R21" i="16"/>
  <c r="M21" i="16"/>
  <c r="L21" i="16"/>
  <c r="J21" i="16"/>
  <c r="AI20" i="16"/>
  <c r="AB20" i="16"/>
  <c r="V20" i="16"/>
  <c r="U20" i="16"/>
  <c r="S20" i="16"/>
  <c r="R20" i="16"/>
  <c r="M20" i="16"/>
  <c r="L20" i="16"/>
  <c r="J20" i="16"/>
  <c r="AI19" i="16"/>
  <c r="AB19" i="16"/>
  <c r="V19" i="16"/>
  <c r="U19" i="16"/>
  <c r="S19" i="16"/>
  <c r="R19" i="16"/>
  <c r="M19" i="16"/>
  <c r="L19" i="16"/>
  <c r="J19" i="16"/>
  <c r="AH18" i="16"/>
  <c r="AG18" i="16"/>
  <c r="AE18" i="16"/>
  <c r="Z18" i="16"/>
  <c r="X18" i="16"/>
  <c r="P18" i="16"/>
  <c r="O18" i="16"/>
  <c r="N18" i="16"/>
  <c r="K18" i="16"/>
  <c r="AI17" i="16"/>
  <c r="AB17" i="16"/>
  <c r="V17" i="16"/>
  <c r="U17" i="16"/>
  <c r="S17" i="16"/>
  <c r="R17" i="16"/>
  <c r="M17" i="16"/>
  <c r="L17" i="16"/>
  <c r="J17" i="16"/>
  <c r="AI16" i="16"/>
  <c r="AB16" i="16"/>
  <c r="V16" i="16"/>
  <c r="U16" i="16"/>
  <c r="S16" i="16"/>
  <c r="R16" i="16"/>
  <c r="M16" i="16"/>
  <c r="L16" i="16"/>
  <c r="J16" i="16"/>
  <c r="AI15" i="16"/>
  <c r="AB15" i="16"/>
  <c r="V15" i="16"/>
  <c r="U15" i="16"/>
  <c r="S15" i="16"/>
  <c r="R15" i="16"/>
  <c r="M15" i="16"/>
  <c r="L15" i="16"/>
  <c r="J15" i="16"/>
  <c r="AI14" i="16"/>
  <c r="AB14" i="16"/>
  <c r="V14" i="16"/>
  <c r="U14" i="16"/>
  <c r="S14" i="16"/>
  <c r="R14" i="16"/>
  <c r="M14" i="16"/>
  <c r="L14" i="16"/>
  <c r="J14" i="16"/>
  <c r="AI13" i="16"/>
  <c r="AB13" i="16"/>
  <c r="V13" i="16"/>
  <c r="U13" i="16"/>
  <c r="S13" i="16"/>
  <c r="R13" i="16"/>
  <c r="M13" i="16"/>
  <c r="L13" i="16"/>
  <c r="J13" i="16"/>
  <c r="AI12" i="16"/>
  <c r="AB12" i="16"/>
  <c r="V12" i="16"/>
  <c r="U12" i="16"/>
  <c r="S12" i="16"/>
  <c r="R12" i="16"/>
  <c r="M12" i="16"/>
  <c r="L12" i="16"/>
  <c r="J12" i="16"/>
  <c r="AI11" i="16"/>
  <c r="AB11" i="16"/>
  <c r="V11" i="16"/>
  <c r="U11" i="16"/>
  <c r="S11" i="16"/>
  <c r="R11" i="16"/>
  <c r="M11" i="16"/>
  <c r="L11" i="16"/>
  <c r="J11" i="16"/>
  <c r="AI10" i="16"/>
  <c r="AB10" i="16"/>
  <c r="V10" i="16"/>
  <c r="U10" i="16"/>
  <c r="S10" i="16"/>
  <c r="R10" i="16"/>
  <c r="M10" i="16"/>
  <c r="L10" i="16"/>
  <c r="J10" i="16"/>
  <c r="AF5" i="16"/>
  <c r="Z5" i="16"/>
  <c r="P105" i="16" l="1"/>
  <c r="Q5" i="18"/>
  <c r="P25" i="18"/>
  <c r="AB104" i="16"/>
  <c r="S25" i="16"/>
  <c r="AI72" i="16"/>
  <c r="K105" i="16"/>
  <c r="AH105" i="16"/>
  <c r="U104" i="16"/>
  <c r="Z105" i="16"/>
  <c r="Z6" i="16" s="1"/>
  <c r="Z7" i="16" s="1"/>
  <c r="AE105" i="16"/>
  <c r="AF6" i="16" s="1"/>
  <c r="AF7" i="16" s="1"/>
  <c r="AI62" i="16"/>
  <c r="S104" i="16"/>
  <c r="AB47" i="16"/>
  <c r="V25" i="16"/>
  <c r="S72" i="16"/>
  <c r="Q7" i="16"/>
  <c r="Q94" i="16" s="1"/>
  <c r="T94" i="16" s="1"/>
  <c r="W94" i="16" s="1"/>
  <c r="Y94" i="16" s="1"/>
  <c r="AA94" i="16" s="1"/>
  <c r="AF94" i="16" s="1"/>
  <c r="AK94" i="16" s="1"/>
  <c r="N105" i="16"/>
  <c r="U25" i="16"/>
  <c r="AB91" i="16"/>
  <c r="U18" i="16"/>
  <c r="AB25" i="16"/>
  <c r="R18" i="16"/>
  <c r="AI18" i="16"/>
  <c r="AI25" i="16"/>
  <c r="U62" i="16"/>
  <c r="V72" i="16"/>
  <c r="AI104" i="16"/>
  <c r="AB72" i="16"/>
  <c r="U72" i="16"/>
  <c r="U47" i="16"/>
  <c r="O105" i="16"/>
  <c r="X105" i="16"/>
  <c r="AG105" i="16"/>
  <c r="AB62" i="16"/>
  <c r="U91" i="16"/>
  <c r="V91" i="16"/>
  <c r="R47" i="16"/>
  <c r="V104" i="16"/>
  <c r="R25" i="16"/>
  <c r="AI91" i="16"/>
  <c r="S18" i="16"/>
  <c r="S47" i="16"/>
  <c r="AB18" i="16"/>
  <c r="S62" i="16"/>
  <c r="R91" i="16"/>
  <c r="V18" i="16"/>
  <c r="V47" i="16"/>
  <c r="AI47" i="16"/>
  <c r="V62" i="16"/>
  <c r="S91" i="16"/>
  <c r="R62" i="16"/>
  <c r="R72" i="16"/>
  <c r="R104" i="16"/>
  <c r="Q25" i="18" l="1"/>
  <c r="R5" i="18"/>
  <c r="R25" i="18" s="1"/>
  <c r="Q97" i="16"/>
  <c r="T97" i="16" s="1"/>
  <c r="W97" i="16" s="1"/>
  <c r="Y97" i="16" s="1"/>
  <c r="AA97" i="16" s="1"/>
  <c r="AC97" i="16" s="1"/>
  <c r="Q52" i="16"/>
  <c r="T52" i="16" s="1"/>
  <c r="W52" i="16" s="1"/>
  <c r="Y52" i="16" s="1"/>
  <c r="AA52" i="16" s="1"/>
  <c r="AD52" i="16" s="1"/>
  <c r="Q80" i="16"/>
  <c r="T80" i="16" s="1"/>
  <c r="W80" i="16" s="1"/>
  <c r="Y80" i="16" s="1"/>
  <c r="AA80" i="16" s="1"/>
  <c r="AJ80" i="16" s="1"/>
  <c r="Q15" i="16"/>
  <c r="T15" i="16" s="1"/>
  <c r="W15" i="16" s="1"/>
  <c r="Y15" i="16" s="1"/>
  <c r="AA15" i="16" s="1"/>
  <c r="AJ15" i="16" s="1"/>
  <c r="Q85" i="16"/>
  <c r="T85" i="16" s="1"/>
  <c r="W85" i="16" s="1"/>
  <c r="Y85" i="16" s="1"/>
  <c r="AA85" i="16" s="1"/>
  <c r="Q33" i="16"/>
  <c r="T33" i="16" s="1"/>
  <c r="W33" i="16" s="1"/>
  <c r="Y33" i="16" s="1"/>
  <c r="AA33" i="16" s="1"/>
  <c r="AJ33" i="16" s="1"/>
  <c r="Q83" i="16"/>
  <c r="T83" i="16" s="1"/>
  <c r="W83" i="16" s="1"/>
  <c r="Y83" i="16" s="1"/>
  <c r="AA83" i="16" s="1"/>
  <c r="AD83" i="16" s="1"/>
  <c r="Q86" i="16"/>
  <c r="T86" i="16" s="1"/>
  <c r="W86" i="16" s="1"/>
  <c r="Y86" i="16" s="1"/>
  <c r="AA86" i="16" s="1"/>
  <c r="AF86" i="16" s="1"/>
  <c r="AK86" i="16" s="1"/>
  <c r="Q98" i="16"/>
  <c r="T98" i="16" s="1"/>
  <c r="W98" i="16" s="1"/>
  <c r="Y98" i="16" s="1"/>
  <c r="AA98" i="16" s="1"/>
  <c r="AJ98" i="16" s="1"/>
  <c r="Q82" i="16"/>
  <c r="T82" i="16" s="1"/>
  <c r="W82" i="16" s="1"/>
  <c r="Y82" i="16" s="1"/>
  <c r="AA82" i="16" s="1"/>
  <c r="AF82" i="16" s="1"/>
  <c r="AK82" i="16" s="1"/>
  <c r="Q13" i="16"/>
  <c r="T13" i="16" s="1"/>
  <c r="W13" i="16" s="1"/>
  <c r="Y13" i="16" s="1"/>
  <c r="AA13" i="16" s="1"/>
  <c r="AF13" i="16" s="1"/>
  <c r="AK13" i="16" s="1"/>
  <c r="AJ94" i="16"/>
  <c r="Q19" i="16"/>
  <c r="T19" i="16" s="1"/>
  <c r="Q75" i="16"/>
  <c r="T75" i="16" s="1"/>
  <c r="W75" i="16" s="1"/>
  <c r="Y75" i="16" s="1"/>
  <c r="AA75" i="16" s="1"/>
  <c r="AD75" i="16" s="1"/>
  <c r="Q90" i="16"/>
  <c r="T90" i="16" s="1"/>
  <c r="W90" i="16" s="1"/>
  <c r="Y90" i="16" s="1"/>
  <c r="AA90" i="16" s="1"/>
  <c r="AJ90" i="16" s="1"/>
  <c r="Q29" i="16"/>
  <c r="T29" i="16" s="1"/>
  <c r="W29" i="16" s="1"/>
  <c r="Y29" i="16" s="1"/>
  <c r="AA29" i="16" s="1"/>
  <c r="AF29" i="16" s="1"/>
  <c r="AK29" i="16" s="1"/>
  <c r="Q93" i="16"/>
  <c r="T93" i="16" s="1"/>
  <c r="W93" i="16" s="1"/>
  <c r="Y93" i="16" s="1"/>
  <c r="AA93" i="16" s="1"/>
  <c r="AF93" i="16" s="1"/>
  <c r="AK93" i="16" s="1"/>
  <c r="Q44" i="16"/>
  <c r="T44" i="16" s="1"/>
  <c r="W44" i="16" s="1"/>
  <c r="Y44" i="16" s="1"/>
  <c r="AA44" i="16" s="1"/>
  <c r="AJ44" i="16" s="1"/>
  <c r="Q79" i="16"/>
  <c r="T79" i="16" s="1"/>
  <c r="W79" i="16" s="1"/>
  <c r="Y79" i="16" s="1"/>
  <c r="AA79" i="16" s="1"/>
  <c r="AC79" i="16" s="1"/>
  <c r="Q21" i="16"/>
  <c r="T21" i="16" s="1"/>
  <c r="W21" i="16" s="1"/>
  <c r="Y21" i="16" s="1"/>
  <c r="AA21" i="16" s="1"/>
  <c r="AJ21" i="16" s="1"/>
  <c r="Q87" i="16"/>
  <c r="T87" i="16" s="1"/>
  <c r="W87" i="16" s="1"/>
  <c r="Y87" i="16" s="1"/>
  <c r="AA87" i="16" s="1"/>
  <c r="AC94" i="16"/>
  <c r="AD94" i="16"/>
  <c r="U105" i="16"/>
  <c r="R105" i="16"/>
  <c r="Q45" i="16"/>
  <c r="T45" i="16" s="1"/>
  <c r="W45" i="16" s="1"/>
  <c r="Y45" i="16" s="1"/>
  <c r="AA45" i="16" s="1"/>
  <c r="AF45" i="16" s="1"/>
  <c r="AK45" i="16" s="1"/>
  <c r="Q101" i="16"/>
  <c r="T101" i="16" s="1"/>
  <c r="W101" i="16" s="1"/>
  <c r="Y101" i="16" s="1"/>
  <c r="AA101" i="16" s="1"/>
  <c r="AD101" i="16" s="1"/>
  <c r="Q49" i="16"/>
  <c r="T49" i="16" s="1"/>
  <c r="W49" i="16" s="1"/>
  <c r="Y49" i="16" s="1"/>
  <c r="AA49" i="16" s="1"/>
  <c r="AF49" i="16" s="1"/>
  <c r="AK49" i="16" s="1"/>
  <c r="Q24" i="16"/>
  <c r="T24" i="16" s="1"/>
  <c r="W24" i="16" s="1"/>
  <c r="Y24" i="16" s="1"/>
  <c r="AA24" i="16" s="1"/>
  <c r="AJ24" i="16" s="1"/>
  <c r="Q22" i="16"/>
  <c r="T22" i="16" s="1"/>
  <c r="W22" i="16" s="1"/>
  <c r="Y22" i="16" s="1"/>
  <c r="AA22" i="16" s="1"/>
  <c r="AF22" i="16" s="1"/>
  <c r="AK22" i="16" s="1"/>
  <c r="Q20" i="16"/>
  <c r="T20" i="16" s="1"/>
  <c r="W20" i="16" s="1"/>
  <c r="Y20" i="16" s="1"/>
  <c r="AA20" i="16" s="1"/>
  <c r="AC20" i="16" s="1"/>
  <c r="Q11" i="16"/>
  <c r="T11" i="16" s="1"/>
  <c r="W11" i="16" s="1"/>
  <c r="Y11" i="16" s="1"/>
  <c r="AA11" i="16" s="1"/>
  <c r="AJ11" i="16" s="1"/>
  <c r="Q30" i="16"/>
  <c r="T30" i="16" s="1"/>
  <c r="W30" i="16" s="1"/>
  <c r="Y30" i="16" s="1"/>
  <c r="AA30" i="16" s="1"/>
  <c r="AF30" i="16" s="1"/>
  <c r="AK30" i="16" s="1"/>
  <c r="Q100" i="16"/>
  <c r="T100" i="16" s="1"/>
  <c r="W100" i="16" s="1"/>
  <c r="Y100" i="16" s="1"/>
  <c r="AA100" i="16" s="1"/>
  <c r="AJ100" i="16" s="1"/>
  <c r="Q103" i="16"/>
  <c r="T103" i="16" s="1"/>
  <c r="W103" i="16" s="1"/>
  <c r="Y103" i="16" s="1"/>
  <c r="AA103" i="16" s="1"/>
  <c r="AJ103" i="16" s="1"/>
  <c r="Q57" i="16"/>
  <c r="T57" i="16" s="1"/>
  <c r="W57" i="16" s="1"/>
  <c r="Y57" i="16" s="1"/>
  <c r="AA57" i="16" s="1"/>
  <c r="AF57" i="16" s="1"/>
  <c r="AK57" i="16" s="1"/>
  <c r="Q84" i="16"/>
  <c r="T84" i="16" s="1"/>
  <c r="W84" i="16" s="1"/>
  <c r="Y84" i="16" s="1"/>
  <c r="AA84" i="16" s="1"/>
  <c r="Q46" i="16"/>
  <c r="T46" i="16" s="1"/>
  <c r="W46" i="16" s="1"/>
  <c r="Y46" i="16" s="1"/>
  <c r="AA46" i="16" s="1"/>
  <c r="AF46" i="16" s="1"/>
  <c r="AK46" i="16" s="1"/>
  <c r="Q102" i="16"/>
  <c r="T102" i="16" s="1"/>
  <c r="W102" i="16" s="1"/>
  <c r="Y102" i="16" s="1"/>
  <c r="AA102" i="16" s="1"/>
  <c r="AJ102" i="16" s="1"/>
  <c r="Q28" i="16"/>
  <c r="T28" i="16" s="1"/>
  <c r="W28" i="16" s="1"/>
  <c r="Y28" i="16" s="1"/>
  <c r="AA28" i="16" s="1"/>
  <c r="AF28" i="16" s="1"/>
  <c r="AK28" i="16" s="1"/>
  <c r="Q34" i="16"/>
  <c r="T34" i="16" s="1"/>
  <c r="W34" i="16" s="1"/>
  <c r="Y34" i="16" s="1"/>
  <c r="AA34" i="16" s="1"/>
  <c r="AD34" i="16" s="1"/>
  <c r="Q56" i="16"/>
  <c r="T56" i="16" s="1"/>
  <c r="W56" i="16" s="1"/>
  <c r="Y56" i="16" s="1"/>
  <c r="AA56" i="16" s="1"/>
  <c r="AC56" i="16" s="1"/>
  <c r="Q39" i="16"/>
  <c r="T39" i="16" s="1"/>
  <c r="W39" i="16" s="1"/>
  <c r="Y39" i="16" s="1"/>
  <c r="AA39" i="16" s="1"/>
  <c r="AD39" i="16" s="1"/>
  <c r="Q51" i="16"/>
  <c r="T51" i="16" s="1"/>
  <c r="W51" i="16" s="1"/>
  <c r="Y51" i="16" s="1"/>
  <c r="AA51" i="16" s="1"/>
  <c r="AF51" i="16" s="1"/>
  <c r="AK51" i="16" s="1"/>
  <c r="Q42" i="16"/>
  <c r="T42" i="16" s="1"/>
  <c r="W42" i="16" s="1"/>
  <c r="Y42" i="16" s="1"/>
  <c r="AA42" i="16" s="1"/>
  <c r="AF42" i="16" s="1"/>
  <c r="AK42" i="16" s="1"/>
  <c r="Q69" i="16"/>
  <c r="T69" i="16" s="1"/>
  <c r="W69" i="16" s="1"/>
  <c r="Y69" i="16" s="1"/>
  <c r="AA69" i="16" s="1"/>
  <c r="AF69" i="16" s="1"/>
  <c r="AK69" i="16" s="1"/>
  <c r="Q96" i="16"/>
  <c r="T96" i="16" s="1"/>
  <c r="W96" i="16" s="1"/>
  <c r="Y96" i="16" s="1"/>
  <c r="AA96" i="16" s="1"/>
  <c r="AJ96" i="16" s="1"/>
  <c r="Q50" i="16"/>
  <c r="T50" i="16" s="1"/>
  <c r="W50" i="16" s="1"/>
  <c r="Y50" i="16" s="1"/>
  <c r="AA50" i="16" s="1"/>
  <c r="AC50" i="16" s="1"/>
  <c r="Q53" i="16"/>
  <c r="T53" i="16" s="1"/>
  <c r="W53" i="16" s="1"/>
  <c r="Y53" i="16" s="1"/>
  <c r="AA53" i="16" s="1"/>
  <c r="AJ53" i="16" s="1"/>
  <c r="Q36" i="16"/>
  <c r="T36" i="16" s="1"/>
  <c r="W36" i="16" s="1"/>
  <c r="Y36" i="16" s="1"/>
  <c r="AA36" i="16" s="1"/>
  <c r="AD36" i="16" s="1"/>
  <c r="Q48" i="16"/>
  <c r="T48" i="16" s="1"/>
  <c r="Q88" i="16"/>
  <c r="T88" i="16" s="1"/>
  <c r="W88" i="16" s="1"/>
  <c r="Y88" i="16" s="1"/>
  <c r="AA88" i="16" s="1"/>
  <c r="AJ88" i="16" s="1"/>
  <c r="Q27" i="16"/>
  <c r="T27" i="16" s="1"/>
  <c r="W27" i="16" s="1"/>
  <c r="Y27" i="16" s="1"/>
  <c r="AA27" i="16" s="1"/>
  <c r="AJ27" i="16" s="1"/>
  <c r="Q68" i="16"/>
  <c r="T68" i="16" s="1"/>
  <c r="W68" i="16" s="1"/>
  <c r="Y68" i="16" s="1"/>
  <c r="AA68" i="16" s="1"/>
  <c r="AD68" i="16" s="1"/>
  <c r="Q59" i="16"/>
  <c r="T59" i="16" s="1"/>
  <c r="W59" i="16" s="1"/>
  <c r="Y59" i="16" s="1"/>
  <c r="AA59" i="16" s="1"/>
  <c r="AF59" i="16" s="1"/>
  <c r="AK59" i="16" s="1"/>
  <c r="Q54" i="16"/>
  <c r="T54" i="16" s="1"/>
  <c r="W54" i="16" s="1"/>
  <c r="Y54" i="16" s="1"/>
  <c r="AA54" i="16" s="1"/>
  <c r="AC54" i="16" s="1"/>
  <c r="Q73" i="16"/>
  <c r="T73" i="16" s="1"/>
  <c r="Q43" i="16"/>
  <c r="T43" i="16" s="1"/>
  <c r="W43" i="16" s="1"/>
  <c r="Y43" i="16" s="1"/>
  <c r="AA43" i="16" s="1"/>
  <c r="AD43" i="16" s="1"/>
  <c r="Q58" i="16"/>
  <c r="T58" i="16" s="1"/>
  <c r="W58" i="16" s="1"/>
  <c r="Y58" i="16" s="1"/>
  <c r="AA58" i="16" s="1"/>
  <c r="AC58" i="16" s="1"/>
  <c r="Q61" i="16"/>
  <c r="T61" i="16" s="1"/>
  <c r="W61" i="16" s="1"/>
  <c r="Y61" i="16" s="1"/>
  <c r="AA61" i="16" s="1"/>
  <c r="AD61" i="16" s="1"/>
  <c r="Q23" i="16"/>
  <c r="T23" i="16" s="1"/>
  <c r="W23" i="16" s="1"/>
  <c r="Y23" i="16" s="1"/>
  <c r="AA23" i="16" s="1"/>
  <c r="AC23" i="16" s="1"/>
  <c r="Q40" i="16"/>
  <c r="T40" i="16" s="1"/>
  <c r="W40" i="16" s="1"/>
  <c r="Y40" i="16" s="1"/>
  <c r="AA40" i="16" s="1"/>
  <c r="AC40" i="16" s="1"/>
  <c r="Q37" i="16"/>
  <c r="T37" i="16" s="1"/>
  <c r="W37" i="16" s="1"/>
  <c r="Y37" i="16" s="1"/>
  <c r="AA37" i="16" s="1"/>
  <c r="Q10" i="16"/>
  <c r="T10" i="16" s="1"/>
  <c r="Q35" i="16"/>
  <c r="T35" i="16" s="1"/>
  <c r="W35" i="16" s="1"/>
  <c r="Y35" i="16" s="1"/>
  <c r="AA35" i="16" s="1"/>
  <c r="AC35" i="16" s="1"/>
  <c r="Q92" i="16"/>
  <c r="T92" i="16" s="1"/>
  <c r="Q63" i="16"/>
  <c r="T63" i="16" s="1"/>
  <c r="Q66" i="16"/>
  <c r="T66" i="16" s="1"/>
  <c r="W66" i="16" s="1"/>
  <c r="Y66" i="16" s="1"/>
  <c r="AA66" i="16" s="1"/>
  <c r="AD66" i="16" s="1"/>
  <c r="Q81" i="16"/>
  <c r="T81" i="16" s="1"/>
  <c r="W81" i="16" s="1"/>
  <c r="Y81" i="16" s="1"/>
  <c r="AA81" i="16" s="1"/>
  <c r="AF81" i="16" s="1"/>
  <c r="AK81" i="16" s="1"/>
  <c r="Q55" i="16"/>
  <c r="T55" i="16" s="1"/>
  <c r="W55" i="16" s="1"/>
  <c r="Y55" i="16" s="1"/>
  <c r="AA55" i="16" s="1"/>
  <c r="AJ55" i="16" s="1"/>
  <c r="Q70" i="16"/>
  <c r="T70" i="16" s="1"/>
  <c r="W70" i="16" s="1"/>
  <c r="Y70" i="16" s="1"/>
  <c r="AA70" i="16" s="1"/>
  <c r="AJ70" i="16" s="1"/>
  <c r="Q65" i="16"/>
  <c r="T65" i="16" s="1"/>
  <c r="W65" i="16" s="1"/>
  <c r="Y65" i="16" s="1"/>
  <c r="AA65" i="16" s="1"/>
  <c r="AJ65" i="16" s="1"/>
  <c r="Q12" i="16"/>
  <c r="T12" i="16" s="1"/>
  <c r="W12" i="16" s="1"/>
  <c r="Y12" i="16" s="1"/>
  <c r="AA12" i="16" s="1"/>
  <c r="AC12" i="16" s="1"/>
  <c r="Q41" i="16"/>
  <c r="T41" i="16" s="1"/>
  <c r="W41" i="16" s="1"/>
  <c r="Y41" i="16" s="1"/>
  <c r="AA41" i="16" s="1"/>
  <c r="AF41" i="16" s="1"/>
  <c r="AK41" i="16" s="1"/>
  <c r="Q26" i="16"/>
  <c r="T26" i="16" s="1"/>
  <c r="Q38" i="16"/>
  <c r="T38" i="16" s="1"/>
  <c r="W38" i="16" s="1"/>
  <c r="Y38" i="16" s="1"/>
  <c r="AA38" i="16" s="1"/>
  <c r="AD38" i="16" s="1"/>
  <c r="Q17" i="16"/>
  <c r="T17" i="16" s="1"/>
  <c r="W17" i="16" s="1"/>
  <c r="Y17" i="16" s="1"/>
  <c r="AA17" i="16" s="1"/>
  <c r="AC17" i="16" s="1"/>
  <c r="Q71" i="16"/>
  <c r="T71" i="16" s="1"/>
  <c r="W71" i="16" s="1"/>
  <c r="Y71" i="16" s="1"/>
  <c r="AA71" i="16" s="1"/>
  <c r="AC71" i="16" s="1"/>
  <c r="Q78" i="16"/>
  <c r="T78" i="16" s="1"/>
  <c r="W78" i="16" s="1"/>
  <c r="Y78" i="16" s="1"/>
  <c r="AA78" i="16" s="1"/>
  <c r="AJ78" i="16" s="1"/>
  <c r="Q89" i="16"/>
  <c r="T89" i="16" s="1"/>
  <c r="W89" i="16" s="1"/>
  <c r="Y89" i="16" s="1"/>
  <c r="AA89" i="16" s="1"/>
  <c r="AJ89" i="16" s="1"/>
  <c r="Q67" i="16"/>
  <c r="T67" i="16" s="1"/>
  <c r="W67" i="16" s="1"/>
  <c r="Y67" i="16" s="1"/>
  <c r="AA67" i="16" s="1"/>
  <c r="AD67" i="16" s="1"/>
  <c r="Q74" i="16"/>
  <c r="T74" i="16" s="1"/>
  <c r="W74" i="16" s="1"/>
  <c r="Y74" i="16" s="1"/>
  <c r="AA74" i="16" s="1"/>
  <c r="AC74" i="16" s="1"/>
  <c r="Q77" i="16"/>
  <c r="T77" i="16" s="1"/>
  <c r="W77" i="16" s="1"/>
  <c r="Y77" i="16" s="1"/>
  <c r="AA77" i="16" s="1"/>
  <c r="AF77" i="16" s="1"/>
  <c r="AK77" i="16" s="1"/>
  <c r="Q14" i="16"/>
  <c r="T14" i="16" s="1"/>
  <c r="W14" i="16" s="1"/>
  <c r="Y14" i="16" s="1"/>
  <c r="AA14" i="16" s="1"/>
  <c r="AJ14" i="16" s="1"/>
  <c r="Q31" i="16"/>
  <c r="T31" i="16" s="1"/>
  <c r="W31" i="16" s="1"/>
  <c r="Y31" i="16" s="1"/>
  <c r="AA31" i="16" s="1"/>
  <c r="AD31" i="16" s="1"/>
  <c r="Q16" i="16"/>
  <c r="T16" i="16" s="1"/>
  <c r="W16" i="16" s="1"/>
  <c r="Y16" i="16" s="1"/>
  <c r="AA16" i="16" s="1"/>
  <c r="AJ16" i="16" s="1"/>
  <c r="Q32" i="16"/>
  <c r="T32" i="16" s="1"/>
  <c r="W32" i="16" s="1"/>
  <c r="Y32" i="16" s="1"/>
  <c r="AA32" i="16" s="1"/>
  <c r="AF32" i="16" s="1"/>
  <c r="AK32" i="16" s="1"/>
  <c r="Q60" i="16"/>
  <c r="T60" i="16" s="1"/>
  <c r="W60" i="16" s="1"/>
  <c r="Y60" i="16" s="1"/>
  <c r="AA60" i="16" s="1"/>
  <c r="AF60" i="16" s="1"/>
  <c r="AK60" i="16" s="1"/>
  <c r="Q64" i="16"/>
  <c r="T64" i="16" s="1"/>
  <c r="W64" i="16" s="1"/>
  <c r="Y64" i="16" s="1"/>
  <c r="AA64" i="16" s="1"/>
  <c r="AD64" i="16" s="1"/>
  <c r="Q95" i="16"/>
  <c r="T95" i="16" s="1"/>
  <c r="W95" i="16" s="1"/>
  <c r="Y95" i="16" s="1"/>
  <c r="AA95" i="16" s="1"/>
  <c r="AJ95" i="16" s="1"/>
  <c r="Q76" i="16"/>
  <c r="T76" i="16" s="1"/>
  <c r="W76" i="16" s="1"/>
  <c r="Y76" i="16" s="1"/>
  <c r="AA76" i="16" s="1"/>
  <c r="AD76" i="16" s="1"/>
  <c r="Q99" i="16"/>
  <c r="T99" i="16" s="1"/>
  <c r="W99" i="16" s="1"/>
  <c r="Y99" i="16" s="1"/>
  <c r="AA99" i="16" s="1"/>
  <c r="AC99" i="16" s="1"/>
  <c r="S105" i="16"/>
  <c r="AC75" i="16"/>
  <c r="AC24" i="16"/>
  <c r="AD21" i="16"/>
  <c r="AF24" i="16"/>
  <c r="AK24" i="16" s="1"/>
  <c r="AF21" i="16"/>
  <c r="AK21" i="16" s="1"/>
  <c r="AB105" i="16"/>
  <c r="V105" i="16"/>
  <c r="AI105" i="16"/>
  <c r="AD84" i="16"/>
  <c r="AC84" i="16"/>
  <c r="AJ84" i="16"/>
  <c r="AF84" i="16"/>
  <c r="AK84" i="16" s="1"/>
  <c r="AD49" i="16"/>
  <c r="AC49" i="16"/>
  <c r="AC87" i="16"/>
  <c r="AJ87" i="16"/>
  <c r="AF87" i="16"/>
  <c r="AK87" i="16" s="1"/>
  <c r="AD87" i="16"/>
  <c r="AD24" i="16" l="1"/>
  <c r="AD45" i="16"/>
  <c r="AC101" i="16"/>
  <c r="AC81" i="16"/>
  <c r="AD81" i="16"/>
  <c r="AD30" i="16"/>
  <c r="AD82" i="16"/>
  <c r="AJ49" i="16"/>
  <c r="AJ45" i="16"/>
  <c r="AC21" i="16"/>
  <c r="AC45" i="16"/>
  <c r="AD56" i="16"/>
  <c r="AC59" i="16"/>
  <c r="AD89" i="16"/>
  <c r="AC89" i="16"/>
  <c r="AF90" i="16"/>
  <c r="AK90" i="16" s="1"/>
  <c r="AC90" i="16"/>
  <c r="AD59" i="16"/>
  <c r="AD90" i="16"/>
  <c r="AF103" i="16"/>
  <c r="AK103" i="16" s="1"/>
  <c r="AJ59" i="16"/>
  <c r="AC55" i="16"/>
  <c r="AC83" i="16"/>
  <c r="AF83" i="16"/>
  <c r="AK83" i="16" s="1"/>
  <c r="AF55" i="16"/>
  <c r="AK55" i="16" s="1"/>
  <c r="AF89" i="16"/>
  <c r="AK89" i="16" s="1"/>
  <c r="AF76" i="16"/>
  <c r="AK76" i="16" s="1"/>
  <c r="AF38" i="16"/>
  <c r="AK38" i="16" s="1"/>
  <c r="AJ83" i="16"/>
  <c r="AC69" i="16"/>
  <c r="AD74" i="16"/>
  <c r="AF50" i="16"/>
  <c r="AK50" i="16" s="1"/>
  <c r="AD28" i="16"/>
  <c r="AC86" i="16"/>
  <c r="AF100" i="16"/>
  <c r="AK100" i="16" s="1"/>
  <c r="AD55" i="16"/>
  <c r="AC76" i="16"/>
  <c r="AF27" i="16"/>
  <c r="AK27" i="16" s="1"/>
  <c r="AJ86" i="16"/>
  <c r="AF97" i="16"/>
  <c r="AK97" i="16" s="1"/>
  <c r="AJ97" i="16"/>
  <c r="AD27" i="16"/>
  <c r="AC30" i="16"/>
  <c r="AC43" i="16"/>
  <c r="AD69" i="16"/>
  <c r="AJ74" i="16"/>
  <c r="AJ32" i="16"/>
  <c r="AC61" i="16"/>
  <c r="AJ64" i="16"/>
  <c r="AC52" i="16"/>
  <c r="AF58" i="16"/>
  <c r="AK58" i="16" s="1"/>
  <c r="AJ31" i="16"/>
  <c r="AF33" i="16"/>
  <c r="AK33" i="16" s="1"/>
  <c r="AF14" i="16"/>
  <c r="AK14" i="16" s="1"/>
  <c r="AF88" i="16"/>
  <c r="AK88" i="16" s="1"/>
  <c r="AC67" i="16"/>
  <c r="AD70" i="16"/>
  <c r="AC64" i="16"/>
  <c r="AJ93" i="16"/>
  <c r="AC31" i="16"/>
  <c r="AF53" i="16"/>
  <c r="AK53" i="16" s="1"/>
  <c r="AF20" i="16"/>
  <c r="AK20" i="16" s="1"/>
  <c r="AC100" i="16"/>
  <c r="AD97" i="16"/>
  <c r="AD35" i="16"/>
  <c r="AF17" i="16"/>
  <c r="AK17" i="16" s="1"/>
  <c r="AC29" i="16"/>
  <c r="AD80" i="16"/>
  <c r="AD88" i="16"/>
  <c r="AC93" i="16"/>
  <c r="AD58" i="16"/>
  <c r="AJ76" i="16"/>
  <c r="AD93" i="16"/>
  <c r="AC39" i="16"/>
  <c r="AC44" i="16"/>
  <c r="AC42" i="16"/>
  <c r="AC102" i="16"/>
  <c r="AF98" i="16"/>
  <c r="AK98" i="16" s="1"/>
  <c r="AJ17" i="16"/>
  <c r="AD33" i="16"/>
  <c r="AD100" i="16"/>
  <c r="AD22" i="16"/>
  <c r="AC32" i="16"/>
  <c r="AJ69" i="16"/>
  <c r="AJ61" i="16"/>
  <c r="AC60" i="16"/>
  <c r="AC98" i="16"/>
  <c r="T25" i="16"/>
  <c r="W19" i="16"/>
  <c r="AC95" i="16"/>
  <c r="AC68" i="16"/>
  <c r="AJ56" i="16"/>
  <c r="AC53" i="16"/>
  <c r="AJ46" i="16"/>
  <c r="AD14" i="16"/>
  <c r="AF95" i="16"/>
  <c r="AK95" i="16" s="1"/>
  <c r="AC11" i="16"/>
  <c r="AJ40" i="16"/>
  <c r="AJ35" i="16"/>
  <c r="AD103" i="16"/>
  <c r="AC34" i="16"/>
  <c r="AF101" i="16"/>
  <c r="AK101" i="16" s="1"/>
  <c r="AJ60" i="16"/>
  <c r="AD53" i="16"/>
  <c r="AF43" i="16"/>
  <c r="AK43" i="16" s="1"/>
  <c r="AD50" i="16"/>
  <c r="AF40" i="16"/>
  <c r="AK40" i="16" s="1"/>
  <c r="AD78" i="16"/>
  <c r="AJ66" i="16"/>
  <c r="W63" i="16"/>
  <c r="T72" i="16"/>
  <c r="AJ68" i="16"/>
  <c r="W92" i="16"/>
  <c r="T104" i="16"/>
  <c r="AJ81" i="16"/>
  <c r="AF64" i="16"/>
  <c r="AK64" i="16" s="1"/>
  <c r="AD79" i="16"/>
  <c r="AF15" i="16"/>
  <c r="AK15" i="16" s="1"/>
  <c r="AF31" i="16"/>
  <c r="AK31" i="16" s="1"/>
  <c r="AD102" i="16"/>
  <c r="AD46" i="16"/>
  <c r="AJ38" i="16"/>
  <c r="AJ23" i="16"/>
  <c r="AJ50" i="16"/>
  <c r="AF71" i="16"/>
  <c r="AK71" i="16" s="1"/>
  <c r="AJ52" i="16"/>
  <c r="AC13" i="16"/>
  <c r="AD86" i="16"/>
  <c r="AF74" i="16"/>
  <c r="AK74" i="16" s="1"/>
  <c r="AJ30" i="16"/>
  <c r="AD42" i="16"/>
  <c r="AJ34" i="16"/>
  <c r="AJ39" i="16"/>
  <c r="AC22" i="16"/>
  <c r="AD32" i="16"/>
  <c r="AJ12" i="16"/>
  <c r="AC77" i="16"/>
  <c r="AC15" i="16"/>
  <c r="AC80" i="16"/>
  <c r="AJ54" i="16"/>
  <c r="AF79" i="16"/>
  <c r="AK79" i="16" s="1"/>
  <c r="W10" i="16"/>
  <c r="T18" i="16"/>
  <c r="W48" i="16"/>
  <c r="T62" i="16"/>
  <c r="AC27" i="16"/>
  <c r="AC38" i="16"/>
  <c r="AD44" i="16"/>
  <c r="AF11" i="16"/>
  <c r="AK11" i="16" s="1"/>
  <c r="AD23" i="16"/>
  <c r="AC65" i="16"/>
  <c r="AC82" i="16"/>
  <c r="AF35" i="16"/>
  <c r="AK35" i="16" s="1"/>
  <c r="AJ75" i="16"/>
  <c r="AJ58" i="16"/>
  <c r="AC88" i="16"/>
  <c r="AF99" i="16"/>
  <c r="AK99" i="16" s="1"/>
  <c r="AF102" i="16"/>
  <c r="AK102" i="16" s="1"/>
  <c r="AD41" i="16"/>
  <c r="AF12" i="16"/>
  <c r="AK12" i="16" s="1"/>
  <c r="AD20" i="16"/>
  <c r="AF67" i="16"/>
  <c r="AK67" i="16" s="1"/>
  <c r="AJ22" i="16"/>
  <c r="AC78" i="16"/>
  <c r="AJ28" i="16"/>
  <c r="AD57" i="16"/>
  <c r="AC16" i="16"/>
  <c r="AD16" i="16"/>
  <c r="W26" i="16"/>
  <c r="T47" i="16"/>
  <c r="AC37" i="16"/>
  <c r="AF37" i="16"/>
  <c r="AK37" i="16" s="1"/>
  <c r="AJ37" i="16"/>
  <c r="AJ71" i="16"/>
  <c r="AC14" i="16"/>
  <c r="AJ99" i="16"/>
  <c r="AD15" i="16"/>
  <c r="AF16" i="16"/>
  <c r="AK16" i="16" s="1"/>
  <c r="AJ41" i="16"/>
  <c r="AC96" i="16"/>
  <c r="AF54" i="16"/>
  <c r="AK54" i="16" s="1"/>
  <c r="AJ67" i="16"/>
  <c r="AJ79" i="16"/>
  <c r="AC70" i="16"/>
  <c r="AF70" i="16"/>
  <c r="AK70" i="16" s="1"/>
  <c r="AJ57" i="16"/>
  <c r="AC36" i="16"/>
  <c r="T91" i="16"/>
  <c r="W73" i="16"/>
  <c r="AJ43" i="16"/>
  <c r="AF65" i="16"/>
  <c r="AK65" i="16" s="1"/>
  <c r="AJ20" i="16"/>
  <c r="AC33" i="16"/>
  <c r="AF61" i="16"/>
  <c r="AK61" i="16" s="1"/>
  <c r="AD71" i="16"/>
  <c r="AD95" i="16"/>
  <c r="AD40" i="16"/>
  <c r="AD29" i="16"/>
  <c r="AC28" i="16"/>
  <c r="AF75" i="16"/>
  <c r="AK75" i="16" s="1"/>
  <c r="AD60" i="16"/>
  <c r="AJ36" i="16"/>
  <c r="AD17" i="16"/>
  <c r="AF96" i="16"/>
  <c r="AK96" i="16" s="1"/>
  <c r="AJ77" i="16"/>
  <c r="AD12" i="16"/>
  <c r="AF66" i="16"/>
  <c r="AK66" i="16" s="1"/>
  <c r="AD96" i="16"/>
  <c r="AJ51" i="16"/>
  <c r="AD51" i="16"/>
  <c r="AF44" i="16"/>
  <c r="AK44" i="16" s="1"/>
  <c r="AF23" i="16"/>
  <c r="AK23" i="16" s="1"/>
  <c r="AF52" i="16"/>
  <c r="AK52" i="16" s="1"/>
  <c r="AD13" i="16"/>
  <c r="AD65" i="16"/>
  <c r="AJ82" i="16"/>
  <c r="AJ13" i="16"/>
  <c r="AF78" i="16"/>
  <c r="AK78" i="16" s="1"/>
  <c r="AJ42" i="16"/>
  <c r="AF34" i="16"/>
  <c r="AK34" i="16" s="1"/>
  <c r="AF36" i="16"/>
  <c r="AK36" i="16" s="1"/>
  <c r="AC57" i="16"/>
  <c r="AD99" i="16"/>
  <c r="AD98" i="16"/>
  <c r="AF80" i="16"/>
  <c r="AK80" i="16" s="1"/>
  <c r="AC51" i="16"/>
  <c r="AD54" i="16"/>
  <c r="AF56" i="16"/>
  <c r="AK56" i="16" s="1"/>
  <c r="AC46" i="16"/>
  <c r="AD11" i="16"/>
  <c r="AD37" i="16"/>
  <c r="AC85" i="16"/>
  <c r="AD85" i="16"/>
  <c r="AJ29" i="16"/>
  <c r="AC103" i="16"/>
  <c r="AF39" i="16"/>
  <c r="AK39" i="16" s="1"/>
  <c r="AC41" i="16"/>
  <c r="AJ85" i="16"/>
  <c r="AF85" i="16"/>
  <c r="AK85" i="16" s="1"/>
  <c r="AD77" i="16"/>
  <c r="AF68" i="16"/>
  <c r="AK68" i="16" s="1"/>
  <c r="AJ101" i="16"/>
  <c r="AC66" i="16"/>
  <c r="T105" i="16" l="1"/>
  <c r="Y10" i="16"/>
  <c r="W18" i="16"/>
  <c r="Y63" i="16"/>
  <c r="W72" i="16"/>
  <c r="W91" i="16"/>
  <c r="Y73" i="16"/>
  <c r="Y26" i="16"/>
  <c r="W47" i="16"/>
  <c r="Y92" i="16"/>
  <c r="W104" i="16"/>
  <c r="Y19" i="16"/>
  <c r="W25" i="16"/>
  <c r="Y48" i="16"/>
  <c r="W62" i="16"/>
  <c r="W105" i="16" l="1"/>
  <c r="AA92" i="16"/>
  <c r="Y104" i="16"/>
  <c r="AA10" i="16"/>
  <c r="Y18" i="16"/>
  <c r="Y25" i="16"/>
  <c r="AA19" i="16"/>
  <c r="Y47" i="16"/>
  <c r="AA26" i="16"/>
  <c r="Y91" i="16"/>
  <c r="AA73" i="16"/>
  <c r="AA48" i="16"/>
  <c r="Y62" i="16"/>
  <c r="Y72" i="16"/>
  <c r="AA63" i="16"/>
  <c r="AC19" i="16" l="1"/>
  <c r="AC25" i="16" s="1"/>
  <c r="AD19" i="16"/>
  <c r="AJ19" i="16"/>
  <c r="AJ25" i="16" s="1"/>
  <c r="AA25" i="16"/>
  <c r="AF19" i="16"/>
  <c r="AA72" i="16"/>
  <c r="AJ63" i="16"/>
  <c r="AJ72" i="16" s="1"/>
  <c r="AF63" i="16"/>
  <c r="AD63" i="16"/>
  <c r="AC63" i="16"/>
  <c r="AC72" i="16" s="1"/>
  <c r="Y105" i="16"/>
  <c r="AC48" i="16"/>
  <c r="AC62" i="16" s="1"/>
  <c r="AJ48" i="16"/>
  <c r="AJ62" i="16" s="1"/>
  <c r="AD48" i="16"/>
  <c r="AF48" i="16"/>
  <c r="AA62" i="16"/>
  <c r="AC10" i="16"/>
  <c r="AC18" i="16" s="1"/>
  <c r="AD10" i="16"/>
  <c r="AJ10" i="16"/>
  <c r="AJ18" i="16" s="1"/>
  <c r="AA18" i="16"/>
  <c r="AF10" i="16"/>
  <c r="AA47" i="16"/>
  <c r="AD26" i="16"/>
  <c r="AC26" i="16"/>
  <c r="AC47" i="16" s="1"/>
  <c r="AJ26" i="16"/>
  <c r="AJ47" i="16" s="1"/>
  <c r="AF26" i="16"/>
  <c r="AJ73" i="16"/>
  <c r="AJ91" i="16" s="1"/>
  <c r="AF73" i="16"/>
  <c r="AD73" i="16"/>
  <c r="AC73" i="16"/>
  <c r="AC91" i="16" s="1"/>
  <c r="AA91" i="16"/>
  <c r="AA104" i="16"/>
  <c r="AJ92" i="16"/>
  <c r="AJ104" i="16" s="1"/>
  <c r="AD92" i="16"/>
  <c r="AF92" i="16"/>
  <c r="AC92" i="16"/>
  <c r="AC104" i="16" s="1"/>
  <c r="B4" i="13"/>
  <c r="B3" i="13"/>
  <c r="AF72" i="16" l="1"/>
  <c r="AK63" i="16"/>
  <c r="AK72" i="16" s="1"/>
  <c r="AK48" i="16"/>
  <c r="AK62" i="16" s="1"/>
  <c r="AF62" i="16"/>
  <c r="AK10" i="16"/>
  <c r="AK18" i="16" s="1"/>
  <c r="AF18" i="16"/>
  <c r="AK73" i="16"/>
  <c r="AK91" i="16" s="1"/>
  <c r="AF91" i="16"/>
  <c r="AA105" i="16"/>
  <c r="AF25" i="16"/>
  <c r="AK19" i="16"/>
  <c r="AK25" i="16" s="1"/>
  <c r="AJ105" i="16"/>
  <c r="AF47" i="16"/>
  <c r="AK26" i="16"/>
  <c r="AK47" i="16" s="1"/>
  <c r="AF104" i="16"/>
  <c r="AK92" i="16"/>
  <c r="AK104" i="16" s="1"/>
  <c r="AC105" i="16"/>
  <c r="B5" i="13"/>
  <c r="B6" i="13"/>
  <c r="E5" i="12"/>
  <c r="E6" i="12"/>
  <c r="E7" i="12"/>
  <c r="E8" i="12"/>
  <c r="E9" i="12"/>
  <c r="E10" i="12"/>
  <c r="E11" i="12"/>
  <c r="E12" i="12"/>
  <c r="E13" i="12"/>
  <c r="E14" i="12"/>
  <c r="E15" i="12"/>
  <c r="E16" i="12"/>
  <c r="E4" i="12"/>
  <c r="D16" i="12"/>
  <c r="D5" i="12"/>
  <c r="D6" i="12"/>
  <c r="D7" i="12"/>
  <c r="D8" i="12"/>
  <c r="D9" i="12"/>
  <c r="D10" i="12"/>
  <c r="D11" i="12"/>
  <c r="D12" i="12"/>
  <c r="D13" i="12"/>
  <c r="D14" i="12"/>
  <c r="D15" i="12"/>
  <c r="D4" i="12"/>
  <c r="C16" i="12"/>
  <c r="B16" i="12"/>
  <c r="AK105" i="16" l="1"/>
  <c r="AF105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Tawatchai Ruangrot</author>
  </authors>
  <commentList>
    <comment ref="I9" authorId="0" shapeId="0" xr:uid="{13EA7D14-3B4F-4BC9-88E0-90A279F0FA14}">
      <text>
        <r>
          <rPr>
            <sz val="10"/>
            <color theme="1"/>
            <rFont val="Calibri"/>
            <family val="2"/>
            <scheme val="minor"/>
          </rPr>
          <t>1. เขตสามารถปรับค่าKในแต่ละรพ.ได้ 
(ถ้าเขตปรับค่าKจะใช้ค่าตามที่เขตปรับ ถ้าเขตไม่ปรับค่าK จะใช้ค่าK ตามเกณฑ์กลาง)</t>
        </r>
      </text>
    </comment>
    <comment ref="Z9" authorId="0" shapeId="0" xr:uid="{D29245F5-1EBC-479E-92B2-1A32A42A291A}">
      <text>
        <r>
          <rPr>
            <sz val="10"/>
            <color indexed="81"/>
            <rFont val="Tahoma"/>
            <family val="2"/>
          </rPr>
          <t xml:space="preserve">2. เขตปรับเกลี่ยเงินเพิ่มเติมตามเกณฑ์หลังจากที่เขตปรับค่าK แล้ว โดยผลการปรับเกลี่ยเงินเติมเมื่อรวมกับเงินOP/PP/IP แล้ว (คอลัมภ์[17]) จะต้องได้ไม่น้อยกว่าหรือเท่ากับ ยอดประกันตามเกณฑ์กลางในคอลัมภ์[18]หากปรับเกลี่ยได้ตรงตามเงื่อนไขคอลัมภ์ [20] จะมีข้อความ "ผ่าน" ***หากเขตไม่ต้องการปรับเกลี่ยให้ copyเงินเติมที่แต่ละCUPได้รับตามเกณฑ์กลางในคอลัมภ์[16]ของsheet2 มาวางได้ </t>
        </r>
        <r>
          <rPr>
            <b/>
            <sz val="10"/>
            <color indexed="81"/>
            <rFont val="Tahoma"/>
            <family val="2"/>
          </rPr>
          <t>(ซึ่งในเบื้องต้นได้วางไว้ให้แล้ว)</t>
        </r>
      </text>
    </comment>
    <comment ref="AE9" authorId="0" shapeId="0" xr:uid="{A8BCCE18-1C08-43D3-9888-AC2ABE8409CA}">
      <text>
        <r>
          <rPr>
            <b/>
            <sz val="9"/>
            <color indexed="81"/>
            <rFont val="Tahoma"/>
            <family val="2"/>
          </rPr>
          <t>3. เขตปรับเกลี่ยเงินระดับเขต
ให้กับ CUP ภายใต้วงเงินของเขต</t>
        </r>
      </text>
    </comment>
  </commentList>
</comments>
</file>

<file path=xl/sharedStrings.xml><?xml version="1.0" encoding="utf-8"?>
<sst xmlns="http://schemas.openxmlformats.org/spreadsheetml/2006/main" count="626" uniqueCount="339">
  <si>
    <t>[1]</t>
  </si>
  <si>
    <t>ลำดับ</t>
  </si>
  <si>
    <t>เขต</t>
  </si>
  <si>
    <t>PURCHASEPROVINCE</t>
  </si>
  <si>
    <t>จังหวัด</t>
  </si>
  <si>
    <t>HOSPMAIN</t>
  </si>
  <si>
    <t>08</t>
  </si>
  <si>
    <t>3800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</si>
  <si>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</si>
  <si>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</si>
  <si>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</si>
  <si>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</si>
  <si>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</si>
  <si>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</si>
  <si>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</si>
  <si>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</si>
  <si>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</si>
  <si>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</si>
  <si>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</si>
  <si>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</si>
  <si>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</si>
  <si>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</si>
  <si>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</si>
  <si>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</si>
  <si>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</si>
  <si>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บึงกาฬ Total</t>
  </si>
  <si>
    <t>3900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</si>
  <si>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</si>
  <si>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</si>
  <si>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</si>
  <si>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</si>
  <si>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</si>
  <si>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</si>
  <si>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</si>
  <si>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</si>
  <si>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</si>
  <si>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</si>
  <si>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</si>
  <si>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</si>
  <si>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</si>
  <si>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หนองบัวลำภู Total</t>
  </si>
  <si>
    <t>4100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</si>
  <si>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</si>
  <si>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</si>
  <si>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</si>
  <si>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</si>
  <si>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</si>
  <si>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</si>
  <si>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</si>
  <si>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</si>
  <si>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</si>
  <si>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</si>
  <si>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</si>
  <si>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</si>
  <si>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</si>
  <si>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</si>
  <si>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</si>
  <si>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</si>
  <si>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</si>
  <si>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</si>
  <si>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</si>
  <si>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</si>
  <si>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</si>
  <si>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</si>
  <si>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</si>
  <si>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</si>
  <si>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</si>
  <si>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</si>
  <si>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</si>
  <si>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</si>
  <si>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</si>
  <si>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</si>
  <si>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</si>
  <si>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</si>
  <si>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</si>
  <si>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</si>
  <si>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</si>
  <si>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</si>
  <si>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</si>
  <si>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</si>
  <si>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</si>
  <si>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25058</t>
  </si>
  <si>
    <t>รพ.กู่แก้ว</t>
  </si>
  <si>
    <t>25059</t>
  </si>
  <si>
    <t>รพ.ประจักษ์ศิลปาคม</t>
  </si>
  <si>
    <t>อุดรธานี Total</t>
  </si>
  <si>
    <t>4200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</si>
  <si>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</si>
  <si>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</si>
  <si>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</si>
  <si>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</si>
  <si>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</si>
  <si>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</si>
  <si>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</si>
  <si>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</si>
  <si>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</si>
  <si>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</si>
  <si>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</si>
  <si>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</si>
  <si>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</si>
  <si>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</si>
  <si>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</si>
  <si>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</si>
  <si>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</si>
  <si>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</si>
  <si>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</si>
  <si>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</si>
  <si>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</si>
  <si>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</si>
  <si>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</si>
  <si>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</si>
  <si>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</si>
  <si>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</si>
  <si>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</si>
  <si>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</si>
  <si>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</si>
  <si>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เลย Total</t>
  </si>
  <si>
    <t>4300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</si>
  <si>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</si>
  <si>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</si>
  <si>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</si>
  <si>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</si>
  <si>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</si>
  <si>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</si>
  <si>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</si>
  <si>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</si>
  <si>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</si>
  <si>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</si>
  <si>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</si>
  <si>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</si>
  <si>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</si>
  <si>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</si>
  <si>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</si>
  <si>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</si>
  <si>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</si>
  <si>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</si>
  <si>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</si>
  <si>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หนองคาย Total</t>
  </si>
  <si>
    <t>4700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</si>
  <si>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</si>
  <si>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</si>
  <si>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</si>
  <si>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</si>
  <si>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</si>
  <si>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</si>
  <si>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</si>
  <si>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</si>
  <si>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</si>
  <si>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</si>
  <si>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</si>
  <si>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</si>
  <si>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</si>
  <si>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</si>
  <si>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</si>
  <si>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</si>
  <si>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</si>
  <si>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</si>
  <si>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</si>
  <si>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</si>
  <si>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</si>
  <si>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</si>
  <si>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</si>
  <si>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</si>
  <si>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</si>
  <si>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</si>
  <si>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</si>
  <si>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</si>
  <si>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</si>
  <si>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</si>
  <si>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</si>
  <si>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</si>
  <si>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</si>
  <si>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</si>
  <si>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</si>
  <si>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</si>
  <si>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 ธนากโร</t>
  </si>
  <si>
    <t>สกลนคร Total</t>
  </si>
  <si>
    <t>4800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</si>
  <si>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</si>
  <si>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</si>
  <si>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</si>
  <si>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</si>
  <si>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</si>
  <si>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</si>
  <si>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</si>
  <si>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</si>
  <si>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</si>
  <si>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</si>
  <si>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</si>
  <si>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</si>
  <si>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</si>
  <si>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</si>
  <si>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</si>
  <si>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</si>
  <si>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</si>
  <si>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</si>
  <si>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</si>
  <si>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</si>
  <si>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</si>
  <si>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</si>
  <si>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</si>
  <si>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</si>
  <si>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</si>
  <si>
    <t>นครพนม Total</t>
  </si>
  <si>
    <t>Grand Total</t>
  </si>
  <si>
    <t>ปี 2565</t>
  </si>
  <si>
    <t>ปี 2564</t>
  </si>
  <si>
    <t>[2]</t>
  </si>
  <si>
    <t>[3]</t>
  </si>
  <si>
    <t>[4]</t>
  </si>
  <si>
    <t>ประมาณการ adjrw IP บริการคนในเขต</t>
  </si>
  <si>
    <t>[5]</t>
  </si>
  <si>
    <t>ประมาณการ adjrw IP บริการคนนอกเขต</t>
  </si>
  <si>
    <t>[6]</t>
  </si>
  <si>
    <t>ประมาณการ adjrw IP NBป่วย/นน.&lt;1,500g</t>
  </si>
  <si>
    <t>[7]</t>
  </si>
  <si>
    <t>ประมาณการอัตราจ่ายIPในเขตหลังปรับค่า K</t>
  </si>
  <si>
    <t>[8]=[1]*[2]</t>
  </si>
  <si>
    <t>OP Step ladder</t>
  </si>
  <si>
    <t>[9]=[1]*[3]</t>
  </si>
  <si>
    <t>P&amp;P  Step ladder</t>
  </si>
  <si>
    <t>[10]=[4]*K*[7]</t>
  </si>
  <si>
    <t>ประมาณการเงิน IPในเขต ปรับค่าk</t>
  </si>
  <si>
    <t>[13]=[8]+…+[12]</t>
  </si>
  <si>
    <t>รวมประมาณการรายรับก่อนปรับลดค่าแรง</t>
  </si>
  <si>
    <t>[14]</t>
  </si>
  <si>
    <t>ปรับลดค่าแรง</t>
  </si>
  <si>
    <t>[15]=[13]-[14]</t>
  </si>
  <si>
    <t>รวมประมาณการรายรับหลังปรับลดค่าแรง</t>
  </si>
  <si>
    <t>[16]</t>
  </si>
  <si>
    <t>[17]=[15]+[16]</t>
  </si>
  <si>
    <t>[18]</t>
  </si>
  <si>
    <t>เงินเติมตามเกณฑ์ สป.สธ.</t>
  </si>
  <si>
    <t>ตรวจสอบผลการปรับเกลี่ย</t>
  </si>
  <si>
    <t>เงินระดับเขต</t>
  </si>
  <si>
    <t>กันเงิน Virtual account ตามประกาศฯ (ถ้ามี) เงินกันนี้จะถูกนำไปหักจากรายรับ OP (ห้ามกันมากกว่ารายรับOP)</t>
  </si>
  <si>
    <t>ประมาณการเงินหลังหัก Virtual account</t>
  </si>
  <si>
    <t>ปรับเกลี่ยแล้ว</t>
  </si>
  <si>
    <t>เขตปรับเกลี่ยแล้ว</t>
  </si>
  <si>
    <t>ประมาณการ rate หลังเขตปรับค่าK</t>
  </si>
  <si>
    <t>คงเหลือยังไม่ปรับเกลี่ย</t>
  </si>
  <si>
    <t>คงเหลือเงินที่ยังไม่ปรับเกลี่ย</t>
  </si>
  <si>
    <t>ปรับค่า K</t>
  </si>
  <si>
    <t>[11]=[5]*9,600</t>
  </si>
  <si>
    <t>[12]=[6]*9,000</t>
  </si>
  <si>
    <t>[19]=[17]-[18]</t>
  </si>
  <si>
    <t>[20]</t>
  </si>
  <si>
    <t>[21]</t>
  </si>
  <si>
    <t>[22]=[17]+[21]</t>
  </si>
  <si>
    <t>[23]</t>
  </si>
  <si>
    <t>[24]</t>
  </si>
  <si>
    <t>[25]=[23]+[24]</t>
  </si>
  <si>
    <t>[26]=[17]-[25]</t>
  </si>
  <si>
    <t>[27]=[22]-[25]</t>
  </si>
  <si>
    <t>ชื่อหน่วยบริการ</t>
  </si>
  <si>
    <t>ค่า K กลาง</t>
  </si>
  <si>
    <t>เขตปรับค่าK (ถ้ามี)</t>
  </si>
  <si>
    <t>ค่า K Final (ใช้ประมวลผลจ่ายปี65)</t>
  </si>
  <si>
    <t>ปชก UC</t>
  </si>
  <si>
    <t>อัตราจ่าย OP Step ladder</t>
  </si>
  <si>
    <t>อัตราจ่าย PP Step ladder</t>
  </si>
  <si>
    <t>ประมาณการเงิน IP นอกเขต</t>
  </si>
  <si>
    <t>ประมาณการเงิน IP NB</t>
  </si>
  <si>
    <t>เขตปรับเกลี่ยเงินเติมตามเกณฑ์ สป.สธ.</t>
  </si>
  <si>
    <r>
      <t>รวมประมาณการรายรับ</t>
    </r>
    <r>
      <rPr>
        <sz val="10"/>
        <color theme="1"/>
        <rFont val="Calibri"/>
        <family val="2"/>
        <scheme val="minor"/>
      </rPr>
      <t>หลัง</t>
    </r>
    <r>
      <rPr>
        <sz val="10"/>
        <color theme="1"/>
        <rFont val="Calibri"/>
        <family val="2"/>
        <charset val="222"/>
        <scheme val="minor"/>
      </rPr>
      <t>ปรับลดค่าแรง รวมเงินเติมฯ</t>
    </r>
  </si>
  <si>
    <r>
      <rPr>
        <sz val="10"/>
        <color rgb="FFFF0000"/>
        <rFont val="Calibri"/>
        <family val="2"/>
        <scheme val="minor"/>
      </rPr>
      <t>ยอดเงินประกันตามเกณฑ์ปี65</t>
    </r>
    <r>
      <rPr>
        <sz val="10"/>
        <color theme="1"/>
        <rFont val="Calibri"/>
        <family val="2"/>
        <charset val="222"/>
        <scheme val="minor"/>
      </rPr>
      <t xml:space="preserve"> (เขตต้องปรับเกลี่ยให้คอลัมภ์[17]ไม่น้อยกว่ายอดนี้)</t>
    </r>
  </si>
  <si>
    <t>ส่วนต่างของประมาณการรายรับกับยอดประกัน</t>
  </si>
  <si>
    <t>ผลการตรวจสอบปรับเกลี่ย</t>
  </si>
  <si>
    <t>เขตปรับเกลี่ยเงินระดับเขต</t>
  </si>
  <si>
    <t>รวมประมาณการรายรับหลังปรับลดค่าแรง รวมปรับเกลี่ยเงินกันระดับเขต</t>
  </si>
  <si>
    <t>สำหรับ OP Refer ข้ามจังหวัด</t>
  </si>
  <si>
    <t>สำหรับ OP Refer ในจังหวัด/OP AE ในจังหวัด</t>
  </si>
  <si>
    <t>รวมเงินกัน Virtual account</t>
  </si>
  <si>
    <t>ประมาณการรายรับปี65 ไม่รวมเงินเติมระดับเขต หักด้วย Virtual account</t>
  </si>
  <si>
    <t>ประมาณการรายรรับปี65 รวมเงินเติมระดับเขต หักด้วย Virtual account</t>
  </si>
  <si>
    <t>จำนวนเตียง</t>
  </si>
  <si>
    <t>กลุ่มหน่วยบริการ</t>
  </si>
  <si>
    <t xml:space="preserve">(ค่าเฉลี่ย ปี </t>
  </si>
  <si>
    <t>2560-2562)</t>
  </si>
  <si>
    <t>รพช.Bed &gt;10&lt;60 POP&gt;5,000-10,000</t>
  </si>
  <si>
    <t>รพช.Bed &gt;10&lt;60 POP&gt;10,000-20,000</t>
  </si>
  <si>
    <t>รพช.Bed &gt;10&lt;60 POP&gt;20,000-30,000</t>
  </si>
  <si>
    <t>รพช.Bed &gt;10&lt;60 POP&gt;30,000-40,000</t>
  </si>
  <si>
    <t>รพช.Bed &gt;10&lt;60 POP&gt;40,000-50,000</t>
  </si>
  <si>
    <t>รพช.Bed &gt;10&lt;60 POP&gt;50,000-60,000</t>
  </si>
  <si>
    <t>รพช.Bed &gt;60 POP&lt; 60,000</t>
  </si>
  <si>
    <t>รพช.Bed &gt;60 POP&gt; 60,000</t>
  </si>
  <si>
    <t>รพท Bed &lt; 300</t>
  </si>
  <si>
    <t>รพท Bed &gt; 300-600</t>
  </si>
  <si>
    <t>รพศ.</t>
  </si>
  <si>
    <t>ค่า K ปี 2565</t>
  </si>
  <si>
    <t>K เดิม</t>
  </si>
  <si>
    <t>เงินระดับเขตเพื่อปรับเกลี่ย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</si>
  <si>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</si>
  <si>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</si>
  <si>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</si>
  <si>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</si>
  <si>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</si>
  <si>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</si>
  <si>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</si>
  <si>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</si>
  <si>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</si>
  <si>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</si>
  <si>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</si>
  <si>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รวม</t>
  </si>
  <si>
    <t>เพิ่ม (บาท)</t>
  </si>
  <si>
    <t>% เพิ่มจากปี 64</t>
  </si>
  <si>
    <t>จำนวนเงิน (บาท)</t>
  </si>
  <si>
    <t>ปี 2562</t>
  </si>
  <si>
    <t>ปี 2563</t>
  </si>
  <si>
    <t>ปี 2561</t>
  </si>
  <si>
    <t>วงเงินปรับเกลี่ยระดับเขต ปี 2565</t>
  </si>
  <si>
    <t xml:space="preserve">   ส่วนที่ 2 ร้อยละ 10 เพื่อช่วยเหลือสภาพคล่องหน่วยบริการ  </t>
  </si>
  <si>
    <t>คงเหลือปรับเกลี่ยให้หน่วยบริการ ต้นปีงบประมาณ</t>
  </si>
  <si>
    <t xml:space="preserve">   ส่วนที่ 1 กันร้อยละ 2 เพื่อเสริมสภาพคล่องหน่วยบริการจากการพัฒนาระบบบริการ</t>
  </si>
  <si>
    <t xml:space="preserve">  ขอกันไว้บริหารระหว่างปี ร้อยละ 12</t>
  </si>
  <si>
    <r>
      <t xml:space="preserve">  </t>
    </r>
    <r>
      <rPr>
        <b/>
        <u/>
        <sz val="16"/>
        <color theme="1"/>
        <rFont val="TH SarabunPSK"/>
        <family val="2"/>
      </rPr>
      <t xml:space="preserve"> ส่วนที่ 2</t>
    </r>
    <r>
      <rPr>
        <b/>
        <sz val="16"/>
        <color theme="1"/>
        <rFont val="TH SarabunPSK"/>
        <family val="2"/>
      </rPr>
      <t xml:space="preserve"> ปรับเกลี่ยให้จังหวัดตามเกณฑ์ Motivated (Capitation ปรับด้วยค่า K)</t>
    </r>
  </si>
  <si>
    <t xml:space="preserve">ปรับ K </t>
  </si>
  <si>
    <t>ส่วนต่างรายรับ IP  K เดิม และปรับเพิ่ม K</t>
  </si>
  <si>
    <t>Risk Score</t>
  </si>
  <si>
    <t>จำนวนเงินที่สนับสนุน 80% (บาท)</t>
  </si>
  <si>
    <r>
      <t xml:space="preserve">   </t>
    </r>
    <r>
      <rPr>
        <b/>
        <u/>
        <sz val="16"/>
        <color theme="1"/>
        <rFont val="TH SarabunPSK"/>
        <family val="2"/>
      </rPr>
      <t>ส่วนที่ 1</t>
    </r>
    <r>
      <rPr>
        <b/>
        <sz val="16"/>
        <color theme="1"/>
        <rFont val="TH SarabunPSK"/>
        <family val="2"/>
      </rPr>
      <t xml:space="preserve"> จัดสรรสนับสนุน รพ.ที่ได้รับผลกระทบจาก Step-K ด้วยการเพิ่มค่า </t>
    </r>
  </si>
  <si>
    <r>
      <t xml:space="preserve">             </t>
    </r>
    <r>
      <rPr>
        <b/>
        <sz val="16"/>
        <color rgb="FFFF0000"/>
        <rFont val="TH SarabunPSK"/>
        <family val="2"/>
      </rPr>
      <t xml:space="preserve">  สนับสนุนครั้งที่ 1 ร้อยละ 80</t>
    </r>
  </si>
  <si>
    <t>จำนวนเงินที่สนับสนุน ตามค่าเฉลี่ย Risk Score ปี 61-64 (บาท)</t>
  </si>
  <si>
    <t>ค่า K Final (ใช้ประมวลผลจ่ายสนับสนุนงบปรับเกลี่ยเขต 8 ปี65)</t>
  </si>
  <si>
    <t>[9]</t>
  </si>
  <si>
    <t>[10]</t>
  </si>
  <si>
    <t>[11]</t>
  </si>
  <si>
    <t>[12]</t>
  </si>
  <si>
    <t>ปี 2564 (ณ 31 สค 64 Risk R8 NI)</t>
  </si>
  <si>
    <t>ค่าเฉลี่ย Risk Score ปี 61-64</t>
  </si>
  <si>
    <t>[13]</t>
  </si>
  <si>
    <t>จำนวน ปชก UC</t>
  </si>
  <si>
    <t>[8]=[7]-[6]</t>
  </si>
  <si>
    <t>[15]=[14]*80%</t>
  </si>
  <si>
    <t>ปรับเพิ่มค่า K กลุ่ม รพ.ในเขต 8</t>
  </si>
  <si>
    <t>K ตามต้นทุน (งานวิจัย)</t>
  </si>
  <si>
    <t xml:space="preserve">ROUND จำนวนเงินที่สนับสนุน 80% (บาท) </t>
  </si>
  <si>
    <t xml:space="preserve">การจัดสรรเงินกันระดับเขต/จังหวัด ปี 2565 สนับสนุน รพ.ขนาดกลางด้วยการเพิ่มค่า 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</si>
</sst>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  <numFmt numFmtId="167" formatCode="#,##0.0000_ ;[Red]\-#,##0.0000\ 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22"/>
      <scheme val="minor"/>
    </font>
    <font>
      <sz val="8"/>
      <color theme="1"/>
      <name val="Calibri"/>
      <family val="2"/>
      <charset val="222"/>
      <scheme val="minor"/>
    </font>
    <font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  <font>
      <b/>
      <sz val="12"/>
      <color rgb="FF0000FF"/>
      <name val="Calibri"/>
      <family val="2"/>
      <scheme val="minor"/>
    </font>
    <font>
      <sz val="8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0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98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4" fillId="3" borderId="2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4" fillId="4" borderId="2" xfId="0" applyFont="1" applyFill="1" applyBorder="1"/>
    <xf numFmtId="164" fontId="3" fillId="4" borderId="2" xfId="1" applyNumberFormat="1" applyFont="1" applyFill="1" applyBorder="1"/>
    <xf numFmtId="0" fontId="3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43" fontId="3" fillId="4" borderId="2" xfId="1" applyFont="1" applyFill="1" applyBorder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0" borderId="2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6" fontId="3" fillId="4" borderId="2" xfId="0" applyNumberFormat="1" applyFont="1" applyFill="1" applyBorder="1"/>
    <xf numFmtId="0" fontId="3" fillId="2" borderId="4" xfId="2" applyFont="1" applyFill="1" applyBorder="1" applyAlignment="1">
      <alignment horizontal="center" vertical="center" wrapText="1"/>
    </xf>
    <xf numFmtId="43" fontId="0" fillId="0" borderId="2" xfId="0" applyNumberFormat="1" applyBorder="1"/>
    <xf numFmtId="43" fontId="3" fillId="8" borderId="0" xfId="0" applyNumberFormat="1" applyFont="1" applyFill="1" applyAlignment="1">
      <alignment horizontal="right"/>
    </xf>
    <xf numFmtId="43" fontId="3" fillId="8" borderId="0" xfId="0" applyNumberFormat="1" applyFont="1" applyFill="1"/>
    <xf numFmtId="43" fontId="8" fillId="4" borderId="10" xfId="4" applyFont="1" applyFill="1" applyBorder="1" applyAlignment="1" applyProtection="1"/>
    <xf numFmtId="166" fontId="3" fillId="4" borderId="4" xfId="2" applyNumberFormat="1" applyFont="1" applyFill="1" applyBorder="1"/>
    <xf numFmtId="0" fontId="3" fillId="8" borderId="0" xfId="0" applyFont="1" applyFill="1" applyAlignment="1">
      <alignment horizontal="right"/>
    </xf>
    <xf numFmtId="166" fontId="3" fillId="8" borderId="0" xfId="0" applyNumberFormat="1" applyFont="1" applyFill="1"/>
    <xf numFmtId="0" fontId="8" fillId="4" borderId="0" xfId="3" applyFont="1" applyFill="1"/>
    <xf numFmtId="166" fontId="3" fillId="4" borderId="6" xfId="2" applyNumberFormat="1" applyFont="1" applyFill="1" applyBorder="1"/>
    <xf numFmtId="43" fontId="9" fillId="0" borderId="0" xfId="4" applyFont="1" applyFill="1" applyBorder="1" applyAlignment="1" applyProtection="1">
      <alignment horizontal="right"/>
    </xf>
    <xf numFmtId="166" fontId="9" fillId="0" borderId="0" xfId="5" applyNumberFormat="1" applyFont="1" applyFill="1" applyBorder="1" applyAlignment="1" applyProtection="1">
      <alignment horizontal="right"/>
    </xf>
    <xf numFmtId="0" fontId="8" fillId="4" borderId="12" xfId="3" applyFont="1" applyFill="1" applyBorder="1"/>
    <xf numFmtId="166" fontId="3" fillId="4" borderId="13" xfId="2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43" fontId="8" fillId="2" borderId="2" xfId="3" applyNumberFormat="1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11" borderId="5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11" borderId="2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6" fontId="3" fillId="0" borderId="3" xfId="1" applyNumberFormat="1" applyFont="1" applyFill="1" applyBorder="1" applyProtection="1"/>
    <xf numFmtId="166" fontId="3" fillId="2" borderId="3" xfId="1" applyNumberFormat="1" applyFont="1" applyFill="1" applyBorder="1" applyProtection="1">
      <protection locked="0"/>
    </xf>
    <xf numFmtId="166" fontId="3" fillId="0" borderId="3" xfId="5" applyNumberFormat="1" applyFont="1" applyFill="1" applyBorder="1" applyProtection="1"/>
    <xf numFmtId="165" fontId="3" fillId="0" borderId="3" xfId="1" applyNumberFormat="1" applyFont="1" applyFill="1" applyBorder="1" applyProtection="1"/>
    <xf numFmtId="166" fontId="3" fillId="0" borderId="3" xfId="0" applyNumberFormat="1" applyFont="1" applyBorder="1"/>
    <xf numFmtId="167" fontId="3" fillId="0" borderId="3" xfId="1" applyNumberFormat="1" applyFont="1" applyFill="1" applyBorder="1" applyProtection="1"/>
    <xf numFmtId="166" fontId="3" fillId="2" borderId="3" xfId="2" applyNumberFormat="1" applyFont="1" applyFill="1" applyBorder="1" applyProtection="1">
      <protection locked="0"/>
    </xf>
    <xf numFmtId="166" fontId="3" fillId="0" borderId="3" xfId="2" applyNumberFormat="1" applyFont="1" applyBorder="1"/>
    <xf numFmtId="166" fontId="3" fillId="0" borderId="3" xfId="2" applyNumberFormat="1" applyFont="1" applyBorder="1" applyAlignment="1">
      <alignment horizontal="center"/>
    </xf>
    <xf numFmtId="166" fontId="3" fillId="2" borderId="3" xfId="0" applyNumberFormat="1" applyFont="1" applyFill="1" applyBorder="1" applyProtection="1">
      <protection locked="0"/>
    </xf>
    <xf numFmtId="166" fontId="3" fillId="0" borderId="2" xfId="1" applyNumberFormat="1" applyFont="1" applyFill="1" applyBorder="1" applyProtection="1"/>
    <xf numFmtId="166" fontId="3" fillId="2" borderId="2" xfId="1" applyNumberFormat="1" applyFont="1" applyFill="1" applyBorder="1" applyProtection="1">
      <protection locked="0"/>
    </xf>
    <xf numFmtId="166" fontId="3" fillId="0" borderId="2" xfId="5" applyNumberFormat="1" applyFont="1" applyFill="1" applyBorder="1" applyProtection="1"/>
    <xf numFmtId="165" fontId="3" fillId="0" borderId="2" xfId="1" applyNumberFormat="1" applyFont="1" applyFill="1" applyBorder="1" applyProtection="1"/>
    <xf numFmtId="166" fontId="3" fillId="0" borderId="2" xfId="0" applyNumberFormat="1" applyFont="1" applyBorder="1"/>
    <xf numFmtId="167" fontId="3" fillId="0" borderId="2" xfId="1" applyNumberFormat="1" applyFont="1" applyFill="1" applyBorder="1" applyProtection="1"/>
    <xf numFmtId="166" fontId="3" fillId="2" borderId="2" xfId="2" applyNumberFormat="1" applyFont="1" applyFill="1" applyBorder="1" applyProtection="1">
      <protection locked="0"/>
    </xf>
    <xf numFmtId="166" fontId="3" fillId="0" borderId="2" xfId="2" applyNumberFormat="1" applyFont="1" applyBorder="1"/>
    <xf numFmtId="166" fontId="3" fillId="0" borderId="2" xfId="2" applyNumberFormat="1" applyFont="1" applyBorder="1" applyAlignment="1">
      <alignment horizontal="center"/>
    </xf>
    <xf numFmtId="166" fontId="3" fillId="2" borderId="2" xfId="0" applyNumberFormat="1" applyFont="1" applyFill="1" applyBorder="1" applyProtection="1">
      <protection locked="0"/>
    </xf>
    <xf numFmtId="0" fontId="3" fillId="0" borderId="14" xfId="0" applyFont="1" applyBorder="1"/>
    <xf numFmtId="166" fontId="3" fillId="3" borderId="2" xfId="1" applyNumberFormat="1" applyFont="1" applyFill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3" borderId="2" xfId="5" applyNumberFormat="1" applyFont="1" applyFill="1" applyBorder="1" applyProtection="1"/>
    <xf numFmtId="165" fontId="3" fillId="3" borderId="2" xfId="1" applyNumberFormat="1" applyFont="1" applyFill="1" applyBorder="1" applyProtection="1"/>
    <xf numFmtId="166" fontId="3" fillId="3" borderId="2" xfId="0" applyNumberFormat="1" applyFont="1" applyFill="1" applyBorder="1"/>
    <xf numFmtId="167" fontId="3" fillId="3" borderId="2" xfId="1" applyNumberFormat="1" applyFont="1" applyFill="1" applyBorder="1" applyProtection="1"/>
    <xf numFmtId="166" fontId="3" fillId="3" borderId="2" xfId="2" applyNumberFormat="1" applyFont="1" applyFill="1" applyBorder="1"/>
    <xf numFmtId="166" fontId="3" fillId="3" borderId="2" xfId="2" applyNumberFormat="1" applyFont="1" applyFill="1" applyBorder="1" applyAlignment="1">
      <alignment horizontal="center"/>
    </xf>
    <xf numFmtId="166" fontId="3" fillId="3" borderId="2" xfId="0" applyNumberFormat="1" applyFont="1" applyFill="1" applyBorder="1" applyProtection="1">
      <protection locked="0"/>
    </xf>
    <xf numFmtId="166" fontId="3" fillId="4" borderId="2" xfId="1" applyNumberFormat="1" applyFont="1" applyFill="1" applyBorder="1" applyProtection="1"/>
    <xf numFmtId="165" fontId="3" fillId="4" borderId="2" xfId="1" applyNumberFormat="1" applyFont="1" applyFill="1" applyBorder="1" applyProtection="1"/>
    <xf numFmtId="167" fontId="3" fillId="4" borderId="2" xfId="1" applyNumberFormat="1" applyFont="1" applyFill="1" applyBorder="1" applyProtection="1"/>
    <xf numFmtId="166" fontId="3" fillId="4" borderId="2" xfId="5" applyNumberFormat="1" applyFont="1" applyFill="1" applyBorder="1" applyProtection="1"/>
    <xf numFmtId="166" fontId="3" fillId="4" borderId="2" xfId="2" applyNumberFormat="1" applyFont="1" applyFill="1" applyBorder="1"/>
    <xf numFmtId="166" fontId="3" fillId="4" borderId="2" xfId="2" applyNumberFormat="1" applyFont="1" applyFill="1" applyBorder="1" applyAlignment="1">
      <alignment horizontal="center"/>
    </xf>
    <xf numFmtId="166" fontId="3" fillId="4" borderId="2" xfId="0" applyNumberFormat="1" applyFont="1" applyFill="1" applyBorder="1" applyProtection="1">
      <protection locked="0"/>
    </xf>
    <xf numFmtId="43" fontId="3" fillId="0" borderId="0" xfId="1" applyFont="1" applyProtection="1"/>
    <xf numFmtId="43" fontId="0" fillId="0" borderId="2" xfId="1" applyFont="1" applyBorder="1"/>
    <xf numFmtId="0" fontId="0" fillId="0" borderId="2" xfId="0" applyFill="1" applyBorder="1"/>
    <xf numFmtId="0" fontId="0" fillId="7" borderId="2" xfId="0" applyFill="1" applyBorder="1"/>
    <xf numFmtId="43" fontId="0" fillId="4" borderId="2" xfId="1" applyFont="1" applyFill="1" applyBorder="1"/>
    <xf numFmtId="0" fontId="2" fillId="0" borderId="2" xfId="0" applyFont="1" applyFill="1" applyBorder="1"/>
    <xf numFmtId="43" fontId="0" fillId="12" borderId="2" xfId="1" applyFont="1" applyFill="1" applyBorder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166" fontId="6" fillId="2" borderId="2" xfId="1" applyNumberFormat="1" applyFont="1" applyFill="1" applyBorder="1" applyProtection="1">
      <protection locked="0"/>
    </xf>
    <xf numFmtId="0" fontId="16" fillId="0" borderId="0" xfId="6" applyFont="1"/>
    <xf numFmtId="0" fontId="3" fillId="0" borderId="0" xfId="6" applyFont="1"/>
    <xf numFmtId="0" fontId="3" fillId="13" borderId="16" xfId="6" applyFont="1" applyFill="1" applyBorder="1" applyAlignment="1">
      <alignment horizontal="center" vertical="center"/>
    </xf>
    <xf numFmtId="0" fontId="3" fillId="13" borderId="17" xfId="6" applyFont="1" applyFill="1" applyBorder="1" applyAlignment="1">
      <alignment horizontal="center" vertical="center"/>
    </xf>
    <xf numFmtId="0" fontId="5" fillId="0" borderId="18" xfId="3" quotePrefix="1" applyFont="1" applyBorder="1" applyAlignment="1">
      <alignment horizontal="center" vertical="center" wrapText="1"/>
    </xf>
    <xf numFmtId="43" fontId="3" fillId="0" borderId="19" xfId="5" applyFont="1" applyBorder="1"/>
    <xf numFmtId="43" fontId="5" fillId="14" borderId="18" xfId="5" quotePrefix="1" applyFont="1" applyFill="1" applyBorder="1" applyAlignment="1">
      <alignment horizontal="center" vertical="center"/>
    </xf>
    <xf numFmtId="43" fontId="3" fillId="14" borderId="19" xfId="5" applyFont="1" applyFill="1" applyBorder="1"/>
    <xf numFmtId="0" fontId="3" fillId="13" borderId="20" xfId="6" applyFont="1" applyFill="1" applyBorder="1" applyAlignment="1">
      <alignment horizontal="center"/>
    </xf>
    <xf numFmtId="43" fontId="3" fillId="13" borderId="21" xfId="6" applyNumberFormat="1" applyFont="1" applyFill="1" applyBorder="1"/>
    <xf numFmtId="0" fontId="3" fillId="13" borderId="22" xfId="6" applyFont="1" applyFill="1" applyBorder="1" applyAlignment="1">
      <alignment horizontal="center" vertical="center"/>
    </xf>
    <xf numFmtId="43" fontId="3" fillId="0" borderId="15" xfId="5" applyFont="1" applyBorder="1"/>
    <xf numFmtId="43" fontId="3" fillId="14" borderId="15" xfId="5" applyFont="1" applyFill="1" applyBorder="1"/>
    <xf numFmtId="43" fontId="3" fillId="13" borderId="23" xfId="6" applyNumberFormat="1" applyFont="1" applyFill="1" applyBorder="1"/>
    <xf numFmtId="0" fontId="3" fillId="13" borderId="2" xfId="6" applyFont="1" applyFill="1" applyBorder="1" applyAlignment="1">
      <alignment horizontal="center" vertical="center"/>
    </xf>
    <xf numFmtId="43" fontId="0" fillId="13" borderId="2" xfId="0" applyNumberFormat="1" applyFill="1" applyBorder="1"/>
    <xf numFmtId="43" fontId="0" fillId="13" borderId="2" xfId="1" applyFont="1" applyFill="1" applyBorder="1"/>
    <xf numFmtId="0" fontId="18" fillId="0" borderId="0" xfId="0" applyFont="1"/>
    <xf numFmtId="0" fontId="18" fillId="0" borderId="2" xfId="0" applyFont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7" borderId="2" xfId="0" applyFont="1" applyFill="1" applyBorder="1"/>
    <xf numFmtId="43" fontId="18" fillId="7" borderId="2" xfId="1" applyFont="1" applyFill="1" applyBorder="1"/>
    <xf numFmtId="0" fontId="18" fillId="7" borderId="2" xfId="0" applyFont="1" applyFill="1" applyBorder="1" applyAlignment="1">
      <alignment horizontal="left"/>
    </xf>
    <xf numFmtId="43" fontId="18" fillId="7" borderId="2" xfId="0" applyNumberFormat="1" applyFont="1" applyFill="1" applyBorder="1"/>
    <xf numFmtId="43" fontId="18" fillId="6" borderId="2" xfId="0" applyNumberFormat="1" applyFont="1" applyFill="1" applyBorder="1"/>
    <xf numFmtId="0" fontId="0" fillId="0" borderId="2" xfId="0" applyBorder="1" applyAlignment="1">
      <alignment horizontal="center"/>
    </xf>
    <xf numFmtId="0" fontId="18" fillId="4" borderId="2" xfId="0" applyFont="1" applyFill="1" applyBorder="1" applyAlignment="1">
      <alignment horizontal="left"/>
    </xf>
    <xf numFmtId="43" fontId="18" fillId="4" borderId="2" xfId="0" applyNumberFormat="1" applyFont="1" applyFill="1" applyBorder="1"/>
    <xf numFmtId="43" fontId="18" fillId="4" borderId="2" xfId="1" applyFont="1" applyFill="1" applyBorder="1"/>
    <xf numFmtId="43" fontId="0" fillId="16" borderId="2" xfId="1" applyFont="1" applyFill="1" applyBorder="1"/>
    <xf numFmtId="0" fontId="0" fillId="7" borderId="2" xfId="0" applyFill="1" applyBorder="1" applyAlignment="1">
      <alignment horizontal="right"/>
    </xf>
    <xf numFmtId="2" fontId="0" fillId="7" borderId="2" xfId="1" applyNumberFormat="1" applyFont="1" applyFill="1" applyBorder="1" applyAlignment="1">
      <alignment horizontal="right" vertical="center"/>
    </xf>
    <xf numFmtId="2" fontId="0" fillId="7" borderId="2" xfId="1" applyNumberFormat="1" applyFont="1" applyFill="1" applyBorder="1" applyAlignment="1">
      <alignment horizontal="right"/>
    </xf>
    <xf numFmtId="0" fontId="19" fillId="6" borderId="2" xfId="0" applyFont="1" applyFill="1" applyBorder="1" applyAlignment="1">
      <alignment horizontal="left"/>
    </xf>
    <xf numFmtId="9" fontId="18" fillId="6" borderId="2" xfId="0" applyNumberFormat="1" applyFont="1" applyFill="1" applyBorder="1" applyAlignment="1">
      <alignment horizontal="left"/>
    </xf>
    <xf numFmtId="9" fontId="18" fillId="6" borderId="2" xfId="0" applyNumberFormat="1" applyFont="1" applyFill="1" applyBorder="1"/>
    <xf numFmtId="0" fontId="0" fillId="0" borderId="0" xfId="0" applyAlignment="1">
      <alignment horizontal="center"/>
    </xf>
    <xf numFmtId="43" fontId="0" fillId="0" borderId="15" xfId="1" applyFont="1" applyBorder="1"/>
    <xf numFmtId="0" fontId="0" fillId="0" borderId="2" xfId="1" applyNumberFormat="1" applyFont="1" applyBorder="1"/>
    <xf numFmtId="166" fontId="0" fillId="4" borderId="15" xfId="0" applyNumberFormat="1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3" fillId="6" borderId="4" xfId="2" applyFont="1" applyFill="1" applyBorder="1" applyAlignment="1">
      <alignment horizontal="center" vertical="center" wrapText="1"/>
    </xf>
    <xf numFmtId="0" fontId="3" fillId="7" borderId="4" xfId="2" applyFont="1" applyFill="1" applyBorder="1" applyAlignment="1">
      <alignment horizontal="center" vertical="center" wrapText="1"/>
    </xf>
    <xf numFmtId="43" fontId="0" fillId="0" borderId="2" xfId="0" applyNumberFormat="1" applyBorder="1" applyAlignment="1">
      <alignment horizontal="center"/>
    </xf>
    <xf numFmtId="0" fontId="3" fillId="5" borderId="5" xfId="2" applyFont="1" applyFill="1" applyBorder="1" applyAlignment="1">
      <alignment horizontal="center" vertical="top" wrapText="1"/>
    </xf>
    <xf numFmtId="0" fontId="3" fillId="11" borderId="5" xfId="2" applyFont="1" applyFill="1" applyBorder="1" applyAlignment="1">
      <alignment horizontal="center" vertical="top" wrapText="1"/>
    </xf>
    <xf numFmtId="0" fontId="6" fillId="5" borderId="5" xfId="2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0" fillId="5" borderId="2" xfId="1" applyNumberFormat="1" applyFont="1" applyFill="1" applyBorder="1" applyAlignment="1">
      <alignment horizontal="center" vertical="top" wrapText="1"/>
    </xf>
    <xf numFmtId="43" fontId="0" fillId="5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5" borderId="2" xfId="0" applyFill="1" applyBorder="1" applyAlignment="1">
      <alignment horizontal="center" vertical="top" wrapText="1"/>
    </xf>
    <xf numFmtId="164" fontId="0" fillId="0" borderId="0" xfId="1" applyNumberFormat="1" applyFont="1" applyAlignment="1">
      <alignment horizontal="center"/>
    </xf>
    <xf numFmtId="164" fontId="3" fillId="0" borderId="2" xfId="1" applyNumberFormat="1" applyFont="1" applyBorder="1"/>
    <xf numFmtId="164" fontId="0" fillId="0" borderId="0" xfId="1" applyNumberFormat="1" applyFont="1"/>
    <xf numFmtId="0" fontId="3" fillId="13" borderId="2" xfId="0" applyFont="1" applyFill="1" applyBorder="1" applyAlignment="1">
      <alignment horizontal="center" vertical="center" wrapText="1"/>
    </xf>
    <xf numFmtId="43" fontId="0" fillId="0" borderId="15" xfId="0" applyNumberFormat="1" applyBorder="1"/>
    <xf numFmtId="43" fontId="0" fillId="4" borderId="2" xfId="0" applyNumberFormat="1" applyFill="1" applyBorder="1"/>
    <xf numFmtId="0" fontId="0" fillId="0" borderId="2" xfId="0" applyBorder="1" applyAlignment="1">
      <alignment horizontal="center" vertical="center"/>
    </xf>
    <xf numFmtId="0" fontId="0" fillId="12" borderId="2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top" wrapText="1"/>
    </xf>
    <xf numFmtId="0" fontId="0" fillId="17" borderId="2" xfId="0" applyFill="1" applyBorder="1" applyAlignment="1">
      <alignment horizontal="center" vertical="center"/>
    </xf>
    <xf numFmtId="166" fontId="3" fillId="15" borderId="1" xfId="2" applyNumberFormat="1" applyFont="1" applyFill="1" applyBorder="1" applyAlignment="1">
      <alignment horizontal="center" vertical="center" wrapText="1"/>
    </xf>
    <xf numFmtId="166" fontId="3" fillId="15" borderId="3" xfId="2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164" fontId="3" fillId="7" borderId="2" xfId="1" applyNumberFormat="1" applyFont="1" applyFill="1" applyBorder="1" applyAlignment="1">
      <alignment horizontal="center" vertical="center" wrapText="1"/>
    </xf>
    <xf numFmtId="43" fontId="8" fillId="9" borderId="7" xfId="3" applyNumberFormat="1" applyFont="1" applyFill="1" applyBorder="1" applyAlignment="1">
      <alignment horizontal="center" vertical="center"/>
    </xf>
    <xf numFmtId="43" fontId="8" fillId="9" borderId="10" xfId="3" applyNumberFormat="1" applyFont="1" applyFill="1" applyBorder="1" applyAlignment="1">
      <alignment horizontal="center" vertical="center"/>
    </xf>
    <xf numFmtId="43" fontId="8" fillId="9" borderId="4" xfId="3" applyNumberFormat="1" applyFont="1" applyFill="1" applyBorder="1" applyAlignment="1">
      <alignment horizontal="center" vertical="center"/>
    </xf>
    <xf numFmtId="43" fontId="8" fillId="9" borderId="8" xfId="3" applyNumberFormat="1" applyFont="1" applyFill="1" applyBorder="1" applyAlignment="1">
      <alignment horizontal="center" vertical="center"/>
    </xf>
    <xf numFmtId="43" fontId="8" fillId="9" borderId="0" xfId="3" applyNumberFormat="1" applyFont="1" applyFill="1" applyAlignment="1">
      <alignment horizontal="center" vertical="center"/>
    </xf>
    <xf numFmtId="43" fontId="8" fillId="9" borderId="6" xfId="3" applyNumberFormat="1" applyFont="1" applyFill="1" applyBorder="1" applyAlignment="1">
      <alignment horizontal="center" vertical="center"/>
    </xf>
    <xf numFmtId="43" fontId="8" fillId="9" borderId="11" xfId="3" applyNumberFormat="1" applyFont="1" applyFill="1" applyBorder="1" applyAlignment="1">
      <alignment horizontal="center" vertical="center"/>
    </xf>
    <xf numFmtId="43" fontId="8" fillId="9" borderId="12" xfId="3" applyNumberFormat="1" applyFont="1" applyFill="1" applyBorder="1" applyAlignment="1">
      <alignment horizontal="center" vertical="center"/>
    </xf>
    <xf numFmtId="43" fontId="8" fillId="9" borderId="13" xfId="3" applyNumberFormat="1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</cellXfs>
  <cellStyles count="12">
    <cellStyle name="Comma" xfId="1" builtinId="3"/>
    <cellStyle name="Comma 2" xfId="5" xr:uid="{1B754CE9-6220-469E-A05A-3FAC7E166730}"/>
    <cellStyle name="Comma 2 2" xfId="11" xr:uid="{D7882C32-29EF-410C-993D-9F2CF58C19B1}"/>
    <cellStyle name="Comma 3" xfId="4" xr:uid="{87551C95-156E-4095-8171-60A1082514B4}"/>
    <cellStyle name="Comma 3 2" xfId="10" xr:uid="{E07F0075-2456-43A1-A8B9-A6E36E51835F}"/>
    <cellStyle name="Comma 4" xfId="9" xr:uid="{23F8827D-4B7E-44B3-9C69-4F41617BB651}"/>
    <cellStyle name="Normal" xfId="0" builtinId="0"/>
    <cellStyle name="Normal 2" xfId="7" xr:uid="{F353E9F9-F7BE-4074-BFAB-F9B5D1D37EE6}"/>
    <cellStyle name="Normal 2 2" xfId="2" xr:uid="{24699764-367A-490D-A4D7-39A4912A577E}"/>
    <cellStyle name="Normal 2 4" xfId="6" xr:uid="{3731E23B-85A7-4F0C-A2BA-CBF37B2BAB3A}"/>
    <cellStyle name="Normal 3" xfId="3" xr:uid="{D78B545E-3F44-45AA-9621-520226C734E8}"/>
    <cellStyle name="ปกติ 5" xfId="8" xr:uid="{54C6F640-2305-4D00-B9BF-8DF7F78EA464}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341312</xdr:colOff>
      <xdr:row>22</xdr:row>
      <xdr:rowOff>93290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3E61BC-A34C-43F0-9C57-45AB08FD0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922" t="27600" r="46862" b="23400"/>
        <a:stretch/>
      </xdr:blipFill>
      <xdr:spPr>
        <a:xfrm>
          <a:off x="0" y="184150"/>
          <a:ext cx="4608512" cy="3960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63501</xdr:colOff>
      <xdr:row>25</xdr:row>
      <xdr:rowOff>120651</xdr:rowOff>
    </xdr:from>
    <xdr:to>
      <xdr:col>15</xdr:col>
      <xdr:colOff>603251</xdr:colOff>
      <xdr:row>33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DB3F33-A6FA-48DD-9C8A-F5EE7033A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6951" y="5092701"/>
          <a:ext cx="4241800" cy="144144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UNGTHIP2019/RUNGTHIP65/UC&#3611;&#3637;65/template%20&#3611;&#3619;&#3633;&#3610;&#3648;&#3585;&#3621;&#3637;&#3656;&#3618;%20&#3626;&#3611;.&#3626;&#3608;.65_&#3648;&#3586;&#3605;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1.จัดสรรก่อนSK"/>
      <sheetName val="2.จัดสรรหลังSK"/>
      <sheetName val="3.สรุปวงเงินเขต"/>
      <sheetName val="4.เขตปรับKและเกลี่ยเงินเพิ่มฯ"/>
      <sheetName val="5.ปรับเกลี่ย PP NonUC"/>
      <sheetName val="6.Printผลการปรับเกลี่ยส่ง"/>
    </sheetNames>
    <sheetDataSet>
      <sheetData sheetId="0"/>
      <sheetData sheetId="1"/>
      <sheetData sheetId="2">
        <row r="4">
          <cell r="E4" t="str">
            <v>11040</v>
          </cell>
          <cell r="F4" t="str">
            <v>รพ.บึงกาฬ</v>
          </cell>
          <cell r="G4">
            <v>1.1000000000000001</v>
          </cell>
          <cell r="H4">
            <v>76768</v>
          </cell>
          <cell r="I4">
            <v>1073.7429563099208</v>
          </cell>
          <cell r="J4">
            <v>216.67375494997916</v>
          </cell>
          <cell r="K4">
            <v>17006.694100000001</v>
          </cell>
          <cell r="L4">
            <v>422.09010000000001</v>
          </cell>
          <cell r="M4">
            <v>389.9769</v>
          </cell>
          <cell r="N4">
            <v>7042.3751705465802</v>
          </cell>
          <cell r="O4">
            <v>82429099.269999996</v>
          </cell>
          <cell r="P4">
            <v>16633610.82</v>
          </cell>
          <cell r="Q4">
            <v>131744272.22</v>
          </cell>
          <cell r="R4">
            <v>4052064.96</v>
          </cell>
          <cell r="S4">
            <v>3509792.1</v>
          </cell>
          <cell r="T4">
            <v>238368839.37</v>
          </cell>
          <cell r="U4">
            <v>93112397</v>
          </cell>
          <cell r="V4">
            <v>145256442.37</v>
          </cell>
          <cell r="W4">
            <v>0</v>
          </cell>
          <cell r="X4">
            <v>145256442.37</v>
          </cell>
          <cell r="Y4">
            <v>130461290.43000001</v>
          </cell>
        </row>
        <row r="5">
          <cell r="E5" t="str">
            <v>11041</v>
          </cell>
          <cell r="F5" t="str">
            <v>รพ.พรเจริญ</v>
          </cell>
          <cell r="G5">
            <v>1.2</v>
          </cell>
          <cell r="H5">
            <v>41820</v>
          </cell>
          <cell r="I5">
            <v>1268.0514689143949</v>
          </cell>
          <cell r="J5">
            <v>255.88384218077474</v>
          </cell>
          <cell r="K5">
            <v>1910.0536999999999</v>
          </cell>
          <cell r="L5">
            <v>44.394199999999998</v>
          </cell>
          <cell r="M5">
            <v>0</v>
          </cell>
          <cell r="N5">
            <v>7042.3751705465802</v>
          </cell>
          <cell r="O5">
            <v>53029912.43</v>
          </cell>
          <cell r="P5">
            <v>10701062.279999999</v>
          </cell>
          <cell r="Q5">
            <v>16141577.42</v>
          </cell>
          <cell r="R5">
            <v>426184.32</v>
          </cell>
          <cell r="S5">
            <v>0</v>
          </cell>
          <cell r="T5">
            <v>80298736.450000003</v>
          </cell>
          <cell r="U5">
            <v>26804885</v>
          </cell>
          <cell r="V5">
            <v>53493851.450000003</v>
          </cell>
          <cell r="W5">
            <v>0</v>
          </cell>
          <cell r="X5">
            <v>53493851.450000003</v>
          </cell>
          <cell r="Y5">
            <v>46343219.890000001</v>
          </cell>
        </row>
        <row r="6">
          <cell r="E6" t="str">
            <v>11043</v>
          </cell>
          <cell r="F6" t="str">
            <v>รพ.โซ่พิสัย</v>
          </cell>
          <cell r="G6">
            <v>1.1499999999999999</v>
          </cell>
          <cell r="H6">
            <v>48560</v>
          </cell>
          <cell r="I6">
            <v>1220.5603189868204</v>
          </cell>
          <cell r="J6">
            <v>246.30046313838551</v>
          </cell>
          <cell r="K6">
            <v>2365.1954999999998</v>
          </cell>
          <cell r="L6">
            <v>52.448999999999998</v>
          </cell>
          <cell r="M6">
            <v>0</v>
          </cell>
          <cell r="N6">
            <v>7042.3751705465802</v>
          </cell>
          <cell r="O6">
            <v>59270409.090000004</v>
          </cell>
          <cell r="P6">
            <v>11960350.49</v>
          </cell>
          <cell r="Q6">
            <v>19155083</v>
          </cell>
          <cell r="R6">
            <v>503510.4</v>
          </cell>
          <cell r="S6">
            <v>0</v>
          </cell>
          <cell r="T6">
            <v>90889352.980000004</v>
          </cell>
          <cell r="U6">
            <v>30342831</v>
          </cell>
          <cell r="V6">
            <v>60546521.979999997</v>
          </cell>
          <cell r="W6">
            <v>0</v>
          </cell>
          <cell r="X6">
            <v>60546521.979999997</v>
          </cell>
          <cell r="Y6">
            <v>54073321.310000002</v>
          </cell>
        </row>
        <row r="7">
          <cell r="E7" t="str">
            <v>11046</v>
          </cell>
          <cell r="F7" t="str">
            <v>รพ.เซกา</v>
          </cell>
          <cell r="G7">
            <v>1.1499999999999999</v>
          </cell>
          <cell r="H7">
            <v>53836</v>
          </cell>
          <cell r="I7">
            <v>1185.6846760531985</v>
          </cell>
          <cell r="J7">
            <v>239.26280444312357</v>
          </cell>
          <cell r="K7">
            <v>5188.9453999999996</v>
          </cell>
          <cell r="L7">
            <v>76.522400000000005</v>
          </cell>
          <cell r="M7">
            <v>3.7869999999999999</v>
          </cell>
          <cell r="N7">
            <v>7042.3751705465802</v>
          </cell>
          <cell r="O7">
            <v>63832520.219999999</v>
          </cell>
          <cell r="P7">
            <v>12880952.34</v>
          </cell>
          <cell r="Q7">
            <v>42023875.210000001</v>
          </cell>
          <cell r="R7">
            <v>734615.04000000004</v>
          </cell>
          <cell r="S7">
            <v>34083</v>
          </cell>
          <cell r="T7">
            <v>119506045.81</v>
          </cell>
          <cell r="U7">
            <v>43299082</v>
          </cell>
          <cell r="V7">
            <v>76206963.810000002</v>
          </cell>
          <cell r="W7">
            <v>0</v>
          </cell>
          <cell r="X7">
            <v>76206963.810000002</v>
          </cell>
          <cell r="Y7">
            <v>69913498.079999998</v>
          </cell>
        </row>
        <row r="8">
          <cell r="E8" t="str">
            <v>11047</v>
          </cell>
          <cell r="F8" t="str">
            <v>รพ.ปากคาด</v>
          </cell>
          <cell r="G8">
            <v>1.25</v>
          </cell>
          <cell r="H8">
            <v>31312</v>
          </cell>
          <cell r="I8">
            <v>1359.5228283086356</v>
          </cell>
          <cell r="J8">
            <v>274.34211739908022</v>
          </cell>
          <cell r="K8">
            <v>1959.0965000000001</v>
          </cell>
          <cell r="L8">
            <v>50.553899999999999</v>
          </cell>
          <cell r="M8">
            <v>0</v>
          </cell>
          <cell r="N8">
            <v>7042.3751705465802</v>
          </cell>
          <cell r="O8">
            <v>42569378.799999997</v>
          </cell>
          <cell r="P8">
            <v>8590200.3800000008</v>
          </cell>
          <cell r="Q8">
            <v>17245865.510000002</v>
          </cell>
          <cell r="R8">
            <v>485317.44</v>
          </cell>
          <cell r="S8">
            <v>0</v>
          </cell>
          <cell r="T8">
            <v>68890762.129999995</v>
          </cell>
          <cell r="U8">
            <v>26215797</v>
          </cell>
          <cell r="V8">
            <v>42674965.130000003</v>
          </cell>
          <cell r="W8">
            <v>0</v>
          </cell>
          <cell r="X8">
            <v>42674965.130000003</v>
          </cell>
          <cell r="Y8">
            <v>35546380.18</v>
          </cell>
        </row>
        <row r="9">
          <cell r="E9" t="str">
            <v>11048</v>
          </cell>
          <cell r="F9" t="str">
            <v>รพ.บึงโขงหลง</v>
          </cell>
          <cell r="G9">
            <v>1.25</v>
          </cell>
          <cell r="H9">
            <v>30842</v>
          </cell>
          <cell r="I9">
            <v>1364.8482553012127</v>
          </cell>
          <cell r="J9">
            <v>275.41675085921793</v>
          </cell>
          <cell r="K9">
            <v>2274.6538999999998</v>
          </cell>
          <cell r="L9">
            <v>49.365699999999997</v>
          </cell>
          <cell r="M9">
            <v>0</v>
          </cell>
          <cell r="N9">
            <v>7042.3751705465802</v>
          </cell>
          <cell r="O9">
            <v>42094649.890000001</v>
          </cell>
          <cell r="P9">
            <v>8494403.4299999997</v>
          </cell>
          <cell r="Q9">
            <v>20023707.859999999</v>
          </cell>
          <cell r="R9">
            <v>473910.72</v>
          </cell>
          <cell r="S9">
            <v>0</v>
          </cell>
          <cell r="T9">
            <v>71086671.900000006</v>
          </cell>
          <cell r="U9">
            <v>23569384</v>
          </cell>
          <cell r="V9">
            <v>47517287.899999999</v>
          </cell>
          <cell r="W9">
            <v>0</v>
          </cell>
          <cell r="X9">
            <v>47517287.899999999</v>
          </cell>
          <cell r="Y9">
            <v>44025221.969999999</v>
          </cell>
        </row>
        <row r="10">
          <cell r="E10" t="str">
            <v>11049</v>
          </cell>
          <cell r="F10" t="str">
            <v>รพ.ศรีวิไล</v>
          </cell>
          <cell r="G10">
            <v>1.25</v>
          </cell>
          <cell r="H10">
            <v>31876</v>
          </cell>
          <cell r="I10">
            <v>1353.3396125611746</v>
          </cell>
          <cell r="J10">
            <v>273.09438825448615</v>
          </cell>
          <cell r="K10">
            <v>1504.6258</v>
          </cell>
          <cell r="L10">
            <v>23.980499999999999</v>
          </cell>
          <cell r="M10">
            <v>0</v>
          </cell>
          <cell r="N10">
            <v>7042.3751705465802</v>
          </cell>
          <cell r="O10">
            <v>43139053.490000002</v>
          </cell>
          <cell r="P10">
            <v>8705156.7200000007</v>
          </cell>
          <cell r="Q10">
            <v>13245174.57</v>
          </cell>
          <cell r="R10">
            <v>230212.8</v>
          </cell>
          <cell r="S10">
            <v>0</v>
          </cell>
          <cell r="T10">
            <v>65319597.579999998</v>
          </cell>
          <cell r="U10">
            <v>23063288</v>
          </cell>
          <cell r="V10">
            <v>42256309.579999998</v>
          </cell>
          <cell r="W10">
            <v>0</v>
          </cell>
          <cell r="X10">
            <v>42256309.579999998</v>
          </cell>
          <cell r="Y10">
            <v>38896746.530000001</v>
          </cell>
        </row>
        <row r="11">
          <cell r="E11" t="str">
            <v>11050</v>
          </cell>
          <cell r="F11" t="str">
            <v>รพ.บุ่งคล้า</v>
          </cell>
          <cell r="G11">
            <v>1.35</v>
          </cell>
          <cell r="H11">
            <v>11279</v>
          </cell>
          <cell r="I11">
            <v>1570.6296692969233</v>
          </cell>
          <cell r="J11">
            <v>316.94198865147621</v>
          </cell>
          <cell r="K11">
            <v>691.48199999999997</v>
          </cell>
          <cell r="L11">
            <v>14.2354</v>
          </cell>
          <cell r="M11">
            <v>0</v>
          </cell>
          <cell r="N11">
            <v>7042.3751705465802</v>
          </cell>
          <cell r="O11">
            <v>17715132.039999999</v>
          </cell>
          <cell r="P11">
            <v>3574788.69</v>
          </cell>
          <cell r="Q11">
            <v>6574062.1500000004</v>
          </cell>
          <cell r="R11">
            <v>136659.84</v>
          </cell>
          <cell r="S11">
            <v>0</v>
          </cell>
          <cell r="T11">
            <v>28000642.719999999</v>
          </cell>
          <cell r="U11">
            <v>13481298</v>
          </cell>
          <cell r="V11">
            <v>14519344.720000001</v>
          </cell>
          <cell r="W11">
            <v>4130536.64</v>
          </cell>
          <cell r="X11">
            <v>18649881.359999999</v>
          </cell>
          <cell r="Y11">
            <v>18649881.359999999</v>
          </cell>
        </row>
        <row r="12">
          <cell r="E12"/>
          <cell r="F12"/>
          <cell r="G12"/>
          <cell r="H12">
            <v>326293</v>
          </cell>
          <cell r="I12"/>
          <cell r="J12"/>
          <cell r="K12">
            <v>32900.746899999998</v>
          </cell>
          <cell r="L12">
            <v>733.59119999999996</v>
          </cell>
          <cell r="M12">
            <v>393.76389999999998</v>
          </cell>
          <cell r="N12"/>
          <cell r="O12">
            <v>404080155.23000002</v>
          </cell>
          <cell r="P12">
            <v>81540525.150000006</v>
          </cell>
          <cell r="Q12">
            <v>266153617.93999997</v>
          </cell>
          <cell r="R12">
            <v>7042475.5200000005</v>
          </cell>
          <cell r="S12">
            <v>3543875.1</v>
          </cell>
          <cell r="T12">
            <v>762360648.94000006</v>
          </cell>
          <cell r="U12">
            <v>279888962</v>
          </cell>
          <cell r="V12">
            <v>482471686.94</v>
          </cell>
          <cell r="W12">
            <v>4130536.64</v>
          </cell>
          <cell r="X12">
            <v>486602223.57999998</v>
          </cell>
          <cell r="Y12">
            <v>437909559.75</v>
          </cell>
        </row>
        <row r="13">
          <cell r="E13" t="str">
            <v>10704</v>
          </cell>
          <cell r="F13" t="str">
            <v>รพ.หนองบัวลำภู</v>
          </cell>
          <cell r="G13">
            <v>1.1000000000000001</v>
          </cell>
          <cell r="H13">
            <v>100640</v>
          </cell>
          <cell r="I13">
            <v>1050.7489997019077</v>
          </cell>
          <cell r="J13">
            <v>204.59968630763115</v>
          </cell>
          <cell r="K13">
            <v>22667</v>
          </cell>
          <cell r="L13">
            <v>595.24159999999995</v>
          </cell>
          <cell r="M13">
            <v>852.57910000000004</v>
          </cell>
          <cell r="N13">
            <v>7042.3751705465802</v>
          </cell>
          <cell r="O13">
            <v>105747379.33</v>
          </cell>
          <cell r="P13">
            <v>20590912.43</v>
          </cell>
          <cell r="Q13">
            <v>175592469.78999999</v>
          </cell>
          <cell r="R13">
            <v>5714319.3600000003</v>
          </cell>
          <cell r="S13">
            <v>7673211.9000000004</v>
          </cell>
          <cell r="T13">
            <v>315318292.81</v>
          </cell>
          <cell r="U13">
            <v>150118533</v>
          </cell>
          <cell r="V13">
            <v>165199759.81</v>
          </cell>
          <cell r="W13">
            <v>0</v>
          </cell>
          <cell r="X13">
            <v>165199759.81</v>
          </cell>
          <cell r="Y13">
            <v>148731292.12</v>
          </cell>
        </row>
        <row r="14">
          <cell r="E14" t="str">
            <v>10991</v>
          </cell>
          <cell r="F14" t="str">
            <v>รพ.นากลาง</v>
          </cell>
          <cell r="G14">
            <v>1.1000000000000001</v>
          </cell>
          <cell r="H14">
            <v>69726</v>
          </cell>
          <cell r="I14">
            <v>1152.3980063390989</v>
          </cell>
          <cell r="J14">
            <v>224.39257192438976</v>
          </cell>
          <cell r="K14">
            <v>3318.1509999999998</v>
          </cell>
          <cell r="L14">
            <v>94.749399999999994</v>
          </cell>
          <cell r="M14">
            <v>0</v>
          </cell>
          <cell r="N14">
            <v>7042.3751705465802</v>
          </cell>
          <cell r="O14">
            <v>80352103.390000001</v>
          </cell>
          <cell r="P14">
            <v>15645996.470000001</v>
          </cell>
          <cell r="Q14">
            <v>25704430.640000001</v>
          </cell>
          <cell r="R14">
            <v>909594.24</v>
          </cell>
          <cell r="S14">
            <v>0</v>
          </cell>
          <cell r="T14">
            <v>122612124.73999999</v>
          </cell>
          <cell r="U14">
            <v>45193575</v>
          </cell>
          <cell r="V14">
            <v>77418549.739999995</v>
          </cell>
          <cell r="W14">
            <v>0</v>
          </cell>
          <cell r="X14">
            <v>77418549.739999995</v>
          </cell>
          <cell r="Y14">
            <v>64376825.770000003</v>
          </cell>
        </row>
        <row r="15">
          <cell r="E15" t="str">
            <v>10992</v>
          </cell>
          <cell r="F15" t="str">
            <v>รพ.โนนสัง</v>
          </cell>
          <cell r="G15">
            <v>1.2</v>
          </cell>
          <cell r="H15">
            <v>47182</v>
          </cell>
          <cell r="I15">
            <v>1286.049063625959</v>
          </cell>
          <cell r="J15">
            <v>250.41683120681614</v>
          </cell>
          <cell r="K15">
            <v>1847.4011</v>
          </cell>
          <cell r="L15">
            <v>44.162300000000002</v>
          </cell>
          <cell r="M15">
            <v>0</v>
          </cell>
          <cell r="N15">
            <v>7042.3751705465802</v>
          </cell>
          <cell r="O15">
            <v>60678366.920000002</v>
          </cell>
          <cell r="P15">
            <v>11815166.93</v>
          </cell>
          <cell r="Q15">
            <v>15612109.82</v>
          </cell>
          <cell r="R15">
            <v>423958.08</v>
          </cell>
          <cell r="S15">
            <v>0</v>
          </cell>
          <cell r="T15">
            <v>88529601.75</v>
          </cell>
          <cell r="U15">
            <v>34357141</v>
          </cell>
          <cell r="V15">
            <v>54172460.75</v>
          </cell>
          <cell r="W15">
            <v>0</v>
          </cell>
          <cell r="X15">
            <v>54172460.75</v>
          </cell>
          <cell r="Y15">
            <v>46424601.329999998</v>
          </cell>
        </row>
        <row r="16">
          <cell r="E16" t="str">
            <v>10993</v>
          </cell>
          <cell r="F16" t="str">
            <v>รพ.ศรีบุญเรือง</v>
          </cell>
          <cell r="G16">
            <v>1.1000000000000001</v>
          </cell>
          <cell r="H16">
            <v>82587</v>
          </cell>
          <cell r="I16">
            <v>1103.2255723055687</v>
          </cell>
          <cell r="J16">
            <v>214.81781672660347</v>
          </cell>
          <cell r="K16">
            <v>4798.1688999999997</v>
          </cell>
          <cell r="L16">
            <v>221.82910000000001</v>
          </cell>
          <cell r="M16">
            <v>0</v>
          </cell>
          <cell r="N16">
            <v>7042.3751705465802</v>
          </cell>
          <cell r="O16">
            <v>91112090.340000004</v>
          </cell>
          <cell r="P16">
            <v>17741159.030000001</v>
          </cell>
          <cell r="Q16">
            <v>37169556.149999999</v>
          </cell>
          <cell r="R16">
            <v>2129559.36</v>
          </cell>
          <cell r="S16">
            <v>0</v>
          </cell>
          <cell r="T16">
            <v>148152364.88</v>
          </cell>
          <cell r="U16">
            <v>53633607</v>
          </cell>
          <cell r="V16">
            <v>94518757.879999995</v>
          </cell>
          <cell r="W16">
            <v>0</v>
          </cell>
          <cell r="X16">
            <v>94518757.879999995</v>
          </cell>
          <cell r="Y16">
            <v>85023250.370000005</v>
          </cell>
        </row>
        <row r="17">
          <cell r="E17" t="str">
            <v>10994</v>
          </cell>
          <cell r="F17" t="str">
            <v>รพ.สุวรรณคูหา</v>
          </cell>
          <cell r="G17">
            <v>1.1499999999999999</v>
          </cell>
          <cell r="H17">
            <v>53672</v>
          </cell>
          <cell r="I17">
            <v>1241.6546942539871</v>
          </cell>
          <cell r="J17">
            <v>241.77245081234165</v>
          </cell>
          <cell r="K17">
            <v>2332.6136000000001</v>
          </cell>
          <cell r="L17">
            <v>53.698</v>
          </cell>
          <cell r="M17">
            <v>0</v>
          </cell>
          <cell r="N17">
            <v>7042.3751705465802</v>
          </cell>
          <cell r="O17">
            <v>66642090.75</v>
          </cell>
          <cell r="P17">
            <v>12976410.98</v>
          </cell>
          <cell r="Q17">
            <v>18891210.829999998</v>
          </cell>
          <cell r="R17">
            <v>515500.79999999999</v>
          </cell>
          <cell r="S17">
            <v>0</v>
          </cell>
          <cell r="T17">
            <v>99025213.359999999</v>
          </cell>
          <cell r="U17">
            <v>34616842</v>
          </cell>
          <cell r="V17">
            <v>64408371.359999999</v>
          </cell>
          <cell r="W17">
            <v>0</v>
          </cell>
          <cell r="X17">
            <v>64408371.359999999</v>
          </cell>
          <cell r="Y17">
            <v>58561726.520000003</v>
          </cell>
        </row>
        <row r="18">
          <cell r="E18" t="str">
            <v>23367</v>
          </cell>
          <cell r="F18" t="str">
            <v>รพ.นาวัง เฉลิมพระเกียรติ 80 พรรษา</v>
          </cell>
          <cell r="G18">
            <v>1.3</v>
          </cell>
          <cell r="H18">
            <v>29031</v>
          </cell>
          <cell r="I18">
            <v>1445.2871857669388</v>
          </cell>
          <cell r="J18">
            <v>281.4233512452206</v>
          </cell>
          <cell r="K18">
            <v>1602.3444</v>
          </cell>
          <cell r="L18">
            <v>22.819800000000001</v>
          </cell>
          <cell r="M18">
            <v>0</v>
          </cell>
          <cell r="N18">
            <v>7042.3751705465802</v>
          </cell>
          <cell r="O18">
            <v>41958132.289999999</v>
          </cell>
          <cell r="P18">
            <v>8170001.3099999996</v>
          </cell>
          <cell r="Q18">
            <v>14669603.4</v>
          </cell>
          <cell r="R18">
            <v>219070.07999999999</v>
          </cell>
          <cell r="S18">
            <v>0</v>
          </cell>
          <cell r="T18">
            <v>65016807.079999998</v>
          </cell>
          <cell r="U18">
            <v>18922497</v>
          </cell>
          <cell r="V18">
            <v>46094310.079999998</v>
          </cell>
          <cell r="W18">
            <v>0</v>
          </cell>
          <cell r="X18">
            <v>46094310.079999998</v>
          </cell>
          <cell r="Y18">
            <v>37703472.600000001</v>
          </cell>
        </row>
        <row r="19">
          <cell r="E19"/>
          <cell r="F19"/>
          <cell r="G19"/>
          <cell r="H19">
            <v>382838</v>
          </cell>
          <cell r="I19"/>
          <cell r="J19"/>
          <cell r="K19">
            <v>36565.678999999996</v>
          </cell>
          <cell r="L19">
            <v>1032.5001999999999</v>
          </cell>
          <cell r="M19">
            <v>852.57910000000004</v>
          </cell>
          <cell r="N19"/>
          <cell r="O19">
            <v>446490163.02000004</v>
          </cell>
          <cell r="P19">
            <v>86939647.150000006</v>
          </cell>
          <cell r="Q19">
            <v>287639380.63</v>
          </cell>
          <cell r="R19">
            <v>9912001.9200000018</v>
          </cell>
          <cell r="S19">
            <v>7673211.9000000004</v>
          </cell>
          <cell r="T19">
            <v>838654404.62000012</v>
          </cell>
          <cell r="U19">
            <v>336842195</v>
          </cell>
          <cell r="V19">
            <v>501812209.62</v>
          </cell>
          <cell r="W19">
            <v>0</v>
          </cell>
          <cell r="X19">
            <v>501812209.62</v>
          </cell>
          <cell r="Y19">
            <v>440821168.71000004</v>
          </cell>
        </row>
        <row r="20">
          <cell r="E20" t="str">
            <v>10671</v>
          </cell>
          <cell r="F20" t="str">
            <v>รพ.อุดรธานี</v>
          </cell>
          <cell r="G20">
            <v>1</v>
          </cell>
          <cell r="H20">
            <v>259511</v>
          </cell>
          <cell r="I20">
            <v>839.02528393786781</v>
          </cell>
          <cell r="J20">
            <v>165.69041682240828</v>
          </cell>
          <cell r="K20">
            <v>118240.8075</v>
          </cell>
          <cell r="L20">
            <v>2770.3712999999998</v>
          </cell>
          <cell r="M20">
            <v>3014.2811000000002</v>
          </cell>
          <cell r="N20">
            <v>7042.3751705465802</v>
          </cell>
          <cell r="O20">
            <v>217736290.46000001</v>
          </cell>
          <cell r="P20">
            <v>42998485.759999998</v>
          </cell>
          <cell r="Q20">
            <v>832696126.88</v>
          </cell>
          <cell r="R20">
            <v>26595564.48</v>
          </cell>
          <cell r="S20">
            <v>27128529.899999999</v>
          </cell>
          <cell r="T20">
            <v>1147154997.48</v>
          </cell>
          <cell r="U20">
            <v>508411227</v>
          </cell>
          <cell r="V20">
            <v>638743770.48000002</v>
          </cell>
          <cell r="W20">
            <v>0</v>
          </cell>
          <cell r="X20">
            <v>638743770.48000002</v>
          </cell>
          <cell r="Y20">
            <v>621073047.52999997</v>
          </cell>
        </row>
        <row r="21">
          <cell r="E21" t="str">
            <v>11013</v>
          </cell>
          <cell r="F21" t="str">
            <v>รพ.กุดจับ</v>
          </cell>
          <cell r="G21">
            <v>1.1499999999999999</v>
          </cell>
          <cell r="H21">
            <v>51752</v>
          </cell>
          <cell r="I21">
            <v>1238.1725355541814</v>
          </cell>
          <cell r="J21">
            <v>244.51387521255216</v>
          </cell>
          <cell r="K21">
            <v>2591.1801999999998</v>
          </cell>
          <cell r="L21">
            <v>36.265500000000003</v>
          </cell>
          <cell r="M21">
            <v>0</v>
          </cell>
          <cell r="N21">
            <v>7042.3751705465802</v>
          </cell>
          <cell r="O21">
            <v>64077905.060000002</v>
          </cell>
          <cell r="P21">
            <v>12654082.07</v>
          </cell>
          <cell r="Q21">
            <v>20985272.359999999</v>
          </cell>
          <cell r="R21">
            <v>348148.8</v>
          </cell>
          <cell r="S21">
            <v>0</v>
          </cell>
          <cell r="T21">
            <v>98065408.290000007</v>
          </cell>
          <cell r="U21">
            <v>33803447</v>
          </cell>
          <cell r="V21">
            <v>64261961.289999999</v>
          </cell>
          <cell r="W21">
            <v>0</v>
          </cell>
          <cell r="X21">
            <v>64261961.289999999</v>
          </cell>
          <cell r="Y21">
            <v>48818763.439999998</v>
          </cell>
        </row>
        <row r="22">
          <cell r="E22" t="str">
            <v>11014</v>
          </cell>
          <cell r="F22" t="str">
            <v>รพ.หนองวัวซอ</v>
          </cell>
          <cell r="G22">
            <v>1.2</v>
          </cell>
          <cell r="H22">
            <v>49952</v>
          </cell>
          <cell r="I22">
            <v>1251.3981778507368</v>
          </cell>
          <cell r="J22">
            <v>247.12567024343372</v>
          </cell>
          <cell r="K22">
            <v>2295.5652</v>
          </cell>
          <cell r="L22">
            <v>47.308300000000003</v>
          </cell>
          <cell r="M22">
            <v>0</v>
          </cell>
          <cell r="N22">
            <v>7042.3751705465802</v>
          </cell>
          <cell r="O22">
            <v>62509841.780000001</v>
          </cell>
          <cell r="P22">
            <v>12344421.48</v>
          </cell>
          <cell r="Q22">
            <v>19399477.359999999</v>
          </cell>
          <cell r="R22">
            <v>454159.68</v>
          </cell>
          <cell r="S22">
            <v>0</v>
          </cell>
          <cell r="T22">
            <v>94707900.299999997</v>
          </cell>
          <cell r="U22">
            <v>40834521</v>
          </cell>
          <cell r="V22">
            <v>53873379.299999997</v>
          </cell>
          <cell r="W22">
            <v>0</v>
          </cell>
          <cell r="X22">
            <v>53873379.299999997</v>
          </cell>
          <cell r="Y22">
            <v>46747503.43</v>
          </cell>
        </row>
        <row r="23">
          <cell r="E23" t="str">
            <v>11015</v>
          </cell>
          <cell r="F23" t="str">
            <v>รพ.กุมภวาปี</v>
          </cell>
          <cell r="G23">
            <v>1.1499999999999999</v>
          </cell>
          <cell r="H23">
            <v>84526</v>
          </cell>
          <cell r="I23">
            <v>1082.3589659986276</v>
          </cell>
          <cell r="J23">
            <v>213.74386650261457</v>
          </cell>
          <cell r="K23">
            <v>13595.438</v>
          </cell>
          <cell r="L23">
            <v>381.3956</v>
          </cell>
          <cell r="M23">
            <v>18.091799999999999</v>
          </cell>
          <cell r="N23">
            <v>7042.3751705465802</v>
          </cell>
          <cell r="O23">
            <v>91487473.959999993</v>
          </cell>
          <cell r="P23">
            <v>18066914.059999999</v>
          </cell>
          <cell r="Q23">
            <v>110105801.25</v>
          </cell>
          <cell r="R23">
            <v>3661397.76</v>
          </cell>
          <cell r="S23">
            <v>162826.20000000001</v>
          </cell>
          <cell r="T23">
            <v>223484413.22999999</v>
          </cell>
          <cell r="U23">
            <v>96803058</v>
          </cell>
          <cell r="V23">
            <v>126681355.23</v>
          </cell>
          <cell r="W23">
            <v>0</v>
          </cell>
          <cell r="X23">
            <v>126681355.23</v>
          </cell>
          <cell r="Y23">
            <v>106560462.81999999</v>
          </cell>
        </row>
        <row r="24">
          <cell r="E24" t="str">
            <v>11016</v>
          </cell>
          <cell r="F24" t="str">
            <v>รพ.ห้วยเกิ้ง</v>
          </cell>
          <cell r="G24">
            <v>1.5</v>
          </cell>
          <cell r="H24">
            <v>4061</v>
          </cell>
          <cell r="I24">
            <v>1737.6587761635064</v>
          </cell>
          <cell r="J24">
            <v>343.1522408273824</v>
          </cell>
          <cell r="K24">
            <v>0</v>
          </cell>
          <cell r="L24">
            <v>0</v>
          </cell>
          <cell r="M24">
            <v>0</v>
          </cell>
          <cell r="N24">
            <v>7042.3751705465802</v>
          </cell>
          <cell r="O24">
            <v>7056632.29</v>
          </cell>
          <cell r="P24">
            <v>1393541.25</v>
          </cell>
          <cell r="Q24">
            <v>0</v>
          </cell>
          <cell r="R24">
            <v>0</v>
          </cell>
          <cell r="S24">
            <v>0</v>
          </cell>
          <cell r="T24">
            <v>8450173.5399999991</v>
          </cell>
          <cell r="U24">
            <v>7863327</v>
          </cell>
          <cell r="V24">
            <v>586846.54</v>
          </cell>
          <cell r="W24">
            <v>9413153.4600000009</v>
          </cell>
          <cell r="X24">
            <v>10000000</v>
          </cell>
          <cell r="Y24">
            <v>10000000</v>
          </cell>
        </row>
        <row r="25">
          <cell r="E25" t="str">
            <v>11017</v>
          </cell>
          <cell r="F25" t="str">
            <v>รพ.โนนสะอาด</v>
          </cell>
          <cell r="G25">
            <v>1.25</v>
          </cell>
          <cell r="H25">
            <v>37153</v>
          </cell>
          <cell r="I25">
            <v>1346.6025346539982</v>
          </cell>
          <cell r="J25">
            <v>265.92659300729417</v>
          </cell>
          <cell r="K25">
            <v>2169.4890999999998</v>
          </cell>
          <cell r="L25">
            <v>34.862499999999997</v>
          </cell>
          <cell r="M25">
            <v>6.1119000000000003</v>
          </cell>
          <cell r="N25">
            <v>7042.3751705465802</v>
          </cell>
          <cell r="O25">
            <v>50030323.969999999</v>
          </cell>
          <cell r="P25">
            <v>9879970.7100000009</v>
          </cell>
          <cell r="Q25">
            <v>19097945.390000001</v>
          </cell>
          <cell r="R25">
            <v>334680</v>
          </cell>
          <cell r="S25">
            <v>55007.1</v>
          </cell>
          <cell r="T25">
            <v>79397927.170000002</v>
          </cell>
          <cell r="U25">
            <v>29450868</v>
          </cell>
          <cell r="V25">
            <v>49947059.170000002</v>
          </cell>
          <cell r="W25">
            <v>0</v>
          </cell>
          <cell r="X25">
            <v>49947059.170000002</v>
          </cell>
          <cell r="Y25">
            <v>39966858.119999997</v>
          </cell>
        </row>
        <row r="26">
          <cell r="E26" t="str">
            <v>11018</v>
          </cell>
          <cell r="F26" t="str">
            <v>รพ.หนองหาน</v>
          </cell>
          <cell r="G26">
            <v>1.1000000000000001</v>
          </cell>
          <cell r="H26">
            <v>91710</v>
          </cell>
          <cell r="I26">
            <v>1061.4194292879729</v>
          </cell>
          <cell r="J26">
            <v>209.6087341620325</v>
          </cell>
          <cell r="K26">
            <v>6241.1603999999998</v>
          </cell>
          <cell r="L26">
            <v>88.013599999999997</v>
          </cell>
          <cell r="M26">
            <v>8.5539000000000005</v>
          </cell>
          <cell r="N26">
            <v>7042.3751705465802</v>
          </cell>
          <cell r="O26">
            <v>97342775.859999999</v>
          </cell>
          <cell r="P26">
            <v>19223217.010000002</v>
          </cell>
          <cell r="Q26">
            <v>48347852.060000002</v>
          </cell>
          <cell r="R26">
            <v>844930.56000000006</v>
          </cell>
          <cell r="S26">
            <v>76985.100000000006</v>
          </cell>
          <cell r="T26">
            <v>165835760.59</v>
          </cell>
          <cell r="U26">
            <v>69390201</v>
          </cell>
          <cell r="V26">
            <v>96445559.590000004</v>
          </cell>
          <cell r="W26">
            <v>0</v>
          </cell>
          <cell r="X26">
            <v>96445559.590000004</v>
          </cell>
          <cell r="Y26">
            <v>86754270.340000004</v>
          </cell>
        </row>
        <row r="27">
          <cell r="E27" t="str">
            <v>11019</v>
          </cell>
          <cell r="F27" t="str">
            <v>รพ.ทุ่งฝน</v>
          </cell>
          <cell r="G27">
            <v>1.3</v>
          </cell>
          <cell r="H27">
            <v>25272</v>
          </cell>
          <cell r="I27">
            <v>1457.0150581671414</v>
          </cell>
          <cell r="J27">
            <v>287.73081908831909</v>
          </cell>
          <cell r="K27">
            <v>1172.5636</v>
          </cell>
          <cell r="L27">
            <v>12.6966</v>
          </cell>
          <cell r="M27">
            <v>0</v>
          </cell>
          <cell r="N27">
            <v>7042.3751705465802</v>
          </cell>
          <cell r="O27">
            <v>36821684.549999997</v>
          </cell>
          <cell r="P27">
            <v>7271533.2599999998</v>
          </cell>
          <cell r="Q27">
            <v>10734922.76</v>
          </cell>
          <cell r="R27">
            <v>121887.36</v>
          </cell>
          <cell r="S27">
            <v>0</v>
          </cell>
          <cell r="T27">
            <v>54950027.93</v>
          </cell>
          <cell r="U27">
            <v>22580514</v>
          </cell>
          <cell r="V27">
            <v>32369513.93</v>
          </cell>
          <cell r="W27">
            <v>0</v>
          </cell>
          <cell r="X27">
            <v>32369513.93</v>
          </cell>
          <cell r="Y27">
            <v>27500653.43</v>
          </cell>
        </row>
        <row r="28">
          <cell r="E28" t="str">
            <v>11020</v>
          </cell>
          <cell r="F28" t="str">
            <v>รพ.ไชยวาน</v>
          </cell>
          <cell r="G28">
            <v>1.3</v>
          </cell>
          <cell r="H28">
            <v>29850</v>
          </cell>
          <cell r="I28">
            <v>1420.1067293132328</v>
          </cell>
          <cell r="J28">
            <v>280.44217554438865</v>
          </cell>
          <cell r="K28">
            <v>1118.5631000000001</v>
          </cell>
          <cell r="L28">
            <v>20.002199999999998</v>
          </cell>
          <cell r="M28">
            <v>0</v>
          </cell>
          <cell r="N28">
            <v>7042.3751705465802</v>
          </cell>
          <cell r="O28">
            <v>42390185.869999997</v>
          </cell>
          <cell r="P28">
            <v>8371198.9400000004</v>
          </cell>
          <cell r="Q28">
            <v>10240543.09</v>
          </cell>
          <cell r="R28">
            <v>192021.12</v>
          </cell>
          <cell r="S28">
            <v>0</v>
          </cell>
          <cell r="T28">
            <v>61193949.020000003</v>
          </cell>
          <cell r="U28">
            <v>19840224</v>
          </cell>
          <cell r="V28">
            <v>41353725.020000003</v>
          </cell>
          <cell r="W28">
            <v>0</v>
          </cell>
          <cell r="X28">
            <v>41353725.020000003</v>
          </cell>
          <cell r="Y28">
            <v>34865709.25</v>
          </cell>
        </row>
        <row r="29">
          <cell r="E29" t="str">
            <v>11021</v>
          </cell>
          <cell r="F29" t="str">
            <v>รพ.ศรีธาตุ</v>
          </cell>
          <cell r="G29">
            <v>1.25</v>
          </cell>
          <cell r="H29">
            <v>36573</v>
          </cell>
          <cell r="I29">
            <v>1351.4236928881962</v>
          </cell>
          <cell r="J29">
            <v>266.87867361168077</v>
          </cell>
          <cell r="K29">
            <v>1688.8957</v>
          </cell>
          <cell r="L29">
            <v>27.6968</v>
          </cell>
          <cell r="M29">
            <v>0</v>
          </cell>
          <cell r="N29">
            <v>7042.3751705465802</v>
          </cell>
          <cell r="O29">
            <v>49425618.719999999</v>
          </cell>
          <cell r="P29">
            <v>9760553.7300000004</v>
          </cell>
          <cell r="Q29">
            <v>14867296.25</v>
          </cell>
          <cell r="R29">
            <v>265889.28000000003</v>
          </cell>
          <cell r="S29">
            <v>0</v>
          </cell>
          <cell r="T29">
            <v>74319357.980000004</v>
          </cell>
          <cell r="U29">
            <v>29005878</v>
          </cell>
          <cell r="V29">
            <v>45313479.979999997</v>
          </cell>
          <cell r="W29">
            <v>0</v>
          </cell>
          <cell r="X29">
            <v>45313479.979999997</v>
          </cell>
          <cell r="Y29">
            <v>39762029.600000001</v>
          </cell>
        </row>
        <row r="30">
          <cell r="E30" t="str">
            <v>11022</v>
          </cell>
          <cell r="F30" t="str">
            <v>รพ.วังสามหมอ</v>
          </cell>
          <cell r="G30">
            <v>1.2</v>
          </cell>
          <cell r="H30">
            <v>43596</v>
          </cell>
          <cell r="I30">
            <v>1294.5071618955867</v>
          </cell>
          <cell r="J30">
            <v>255.63881732269019</v>
          </cell>
          <cell r="K30">
            <v>2450.2330999999999</v>
          </cell>
          <cell r="L30">
            <v>56.857900000000001</v>
          </cell>
          <cell r="M30">
            <v>0</v>
          </cell>
          <cell r="N30">
            <v>7042.3751705465802</v>
          </cell>
          <cell r="O30">
            <v>56435334.229999997</v>
          </cell>
          <cell r="P30">
            <v>11144829.880000001</v>
          </cell>
          <cell r="Q30">
            <v>20706552.75</v>
          </cell>
          <cell r="R30">
            <v>545835.84</v>
          </cell>
          <cell r="S30">
            <v>0</v>
          </cell>
          <cell r="T30">
            <v>88832552.700000003</v>
          </cell>
          <cell r="U30">
            <v>32989170</v>
          </cell>
          <cell r="V30">
            <v>55843382.700000003</v>
          </cell>
          <cell r="W30">
            <v>0</v>
          </cell>
          <cell r="X30">
            <v>55843382.700000003</v>
          </cell>
          <cell r="Y30">
            <v>49821461.280000001</v>
          </cell>
        </row>
        <row r="31">
          <cell r="E31" t="str">
            <v>11023</v>
          </cell>
          <cell r="F31" t="str">
            <v>รพ.บ้านผือ</v>
          </cell>
          <cell r="G31">
            <v>1.1000000000000001</v>
          </cell>
          <cell r="H31">
            <v>87077</v>
          </cell>
          <cell r="I31">
            <v>1074.8307651848365</v>
          </cell>
          <cell r="J31">
            <v>212.25719994946999</v>
          </cell>
          <cell r="K31">
            <v>6250.7851000000001</v>
          </cell>
          <cell r="L31">
            <v>106.669</v>
          </cell>
          <cell r="M31">
            <v>0</v>
          </cell>
          <cell r="N31">
            <v>7042.3751705465802</v>
          </cell>
          <cell r="O31">
            <v>93593038.540000007</v>
          </cell>
          <cell r="P31">
            <v>18482720.199999999</v>
          </cell>
          <cell r="Q31">
            <v>48422411.090000004</v>
          </cell>
          <cell r="R31">
            <v>1024022.4</v>
          </cell>
          <cell r="S31">
            <v>0</v>
          </cell>
          <cell r="T31">
            <v>161522192.22999999</v>
          </cell>
          <cell r="U31">
            <v>59205656</v>
          </cell>
          <cell r="V31">
            <v>102316536.23</v>
          </cell>
          <cell r="W31">
            <v>0</v>
          </cell>
          <cell r="X31">
            <v>102316536.23</v>
          </cell>
          <cell r="Y31">
            <v>88220657.040000007</v>
          </cell>
        </row>
        <row r="32">
          <cell r="E32" t="str">
            <v>11024</v>
          </cell>
          <cell r="F32" t="str">
            <v>รพ.น้ำโสม</v>
          </cell>
          <cell r="G32">
            <v>1.1499999999999999</v>
          </cell>
          <cell r="H32">
            <v>46833</v>
          </cell>
          <cell r="I32">
            <v>1271.0903642730555</v>
          </cell>
          <cell r="J32">
            <v>251.01447654431706</v>
          </cell>
          <cell r="K32">
            <v>2908.6091000000001</v>
          </cell>
          <cell r="L32">
            <v>61.230200000000004</v>
          </cell>
          <cell r="M32">
            <v>0</v>
          </cell>
          <cell r="N32">
            <v>7042.3751705465802</v>
          </cell>
          <cell r="O32">
            <v>59528975.030000001</v>
          </cell>
          <cell r="P32">
            <v>11755760.98</v>
          </cell>
          <cell r="Q32">
            <v>23556044.23</v>
          </cell>
          <cell r="R32">
            <v>587809.92000000004</v>
          </cell>
          <cell r="S32">
            <v>0</v>
          </cell>
          <cell r="T32">
            <v>95428590.159999996</v>
          </cell>
          <cell r="U32">
            <v>32482612</v>
          </cell>
          <cell r="V32">
            <v>62945978.159999996</v>
          </cell>
          <cell r="W32">
            <v>0</v>
          </cell>
          <cell r="X32">
            <v>62945978.159999996</v>
          </cell>
          <cell r="Y32">
            <v>58018106.210000001</v>
          </cell>
        </row>
        <row r="33">
          <cell r="E33" t="str">
            <v>11025</v>
          </cell>
          <cell r="F33" t="str">
            <v>รพ.เพ็ญ</v>
          </cell>
          <cell r="G33">
            <v>1.1000000000000001</v>
          </cell>
          <cell r="H33">
            <v>88644</v>
          </cell>
          <cell r="I33">
            <v>1070.4212514101348</v>
          </cell>
          <cell r="J33">
            <v>211.38641081178648</v>
          </cell>
          <cell r="K33">
            <v>5100.3122999999996</v>
          </cell>
          <cell r="L33">
            <v>77.556100000000001</v>
          </cell>
          <cell r="M33">
            <v>0</v>
          </cell>
          <cell r="N33">
            <v>7042.3751705465802</v>
          </cell>
          <cell r="O33">
            <v>94886421.409999996</v>
          </cell>
          <cell r="P33">
            <v>18738137</v>
          </cell>
          <cell r="Q33">
            <v>39510143.759999998</v>
          </cell>
          <cell r="R33">
            <v>744538.56</v>
          </cell>
          <cell r="S33">
            <v>0</v>
          </cell>
          <cell r="T33">
            <v>153879240.72999999</v>
          </cell>
          <cell r="U33">
            <v>50374021</v>
          </cell>
          <cell r="V33">
            <v>103505219.73</v>
          </cell>
          <cell r="W33">
            <v>0</v>
          </cell>
          <cell r="X33">
            <v>103505219.73</v>
          </cell>
          <cell r="Y33">
            <v>92587241.439999998</v>
          </cell>
        </row>
        <row r="34">
          <cell r="E34" t="str">
            <v>11026</v>
          </cell>
          <cell r="F34" t="str">
            <v>รพ.สร้างคอม</v>
          </cell>
          <cell r="G34">
            <v>1.3</v>
          </cell>
          <cell r="H34">
            <v>22384</v>
          </cell>
          <cell r="I34">
            <v>1488.0644013581129</v>
          </cell>
          <cell r="J34">
            <v>293.86243254110082</v>
          </cell>
          <cell r="K34">
            <v>1282.1799000000001</v>
          </cell>
          <cell r="L34">
            <v>8.1761999999999997</v>
          </cell>
          <cell r="M34">
            <v>0</v>
          </cell>
          <cell r="N34">
            <v>7042.3751705465802</v>
          </cell>
          <cell r="O34">
            <v>33308833.559999999</v>
          </cell>
          <cell r="P34">
            <v>6577816.6900000004</v>
          </cell>
          <cell r="Q34">
            <v>11738469.67</v>
          </cell>
          <cell r="R34">
            <v>78491.520000000004</v>
          </cell>
          <cell r="S34">
            <v>0</v>
          </cell>
          <cell r="T34">
            <v>51703611.439999998</v>
          </cell>
          <cell r="U34">
            <v>17459872</v>
          </cell>
          <cell r="V34">
            <v>34243739.439999998</v>
          </cell>
          <cell r="W34">
            <v>0</v>
          </cell>
          <cell r="X34">
            <v>34243739.439999998</v>
          </cell>
          <cell r="Y34">
            <v>27397422.260000002</v>
          </cell>
        </row>
        <row r="35">
          <cell r="E35" t="str">
            <v>11027</v>
          </cell>
          <cell r="F35" t="str">
            <v>รพ.หนองแสง</v>
          </cell>
          <cell r="G35">
            <v>1.3</v>
          </cell>
          <cell r="H35">
            <v>21097</v>
          </cell>
          <cell r="I35">
            <v>1504.6393691046121</v>
          </cell>
          <cell r="J35">
            <v>297.13565151443333</v>
          </cell>
          <cell r="K35">
            <v>1011.5075000000001</v>
          </cell>
          <cell r="L35">
            <v>17.324999999999999</v>
          </cell>
          <cell r="M35">
            <v>0</v>
          </cell>
          <cell r="N35">
            <v>7042.3751705465802</v>
          </cell>
          <cell r="O35">
            <v>31743376.77</v>
          </cell>
          <cell r="P35">
            <v>6268670.8399999999</v>
          </cell>
          <cell r="Q35">
            <v>9260440.25</v>
          </cell>
          <cell r="R35">
            <v>166320</v>
          </cell>
          <cell r="S35">
            <v>0</v>
          </cell>
          <cell r="T35">
            <v>47438807.859999999</v>
          </cell>
          <cell r="U35">
            <v>22188463</v>
          </cell>
          <cell r="V35">
            <v>25250344.859999999</v>
          </cell>
          <cell r="W35">
            <v>0</v>
          </cell>
          <cell r="X35">
            <v>25250344.859999999</v>
          </cell>
          <cell r="Y35">
            <v>22916882.82</v>
          </cell>
        </row>
        <row r="36">
          <cell r="E36" t="str">
            <v>11028</v>
          </cell>
          <cell r="F36" t="str">
            <v>รพ.นายูง</v>
          </cell>
          <cell r="G36">
            <v>1.3</v>
          </cell>
          <cell r="H36">
            <v>23846</v>
          </cell>
          <cell r="I36">
            <v>1471.4062551371301</v>
          </cell>
          <cell r="J36">
            <v>290.57278788895411</v>
          </cell>
          <cell r="K36">
            <v>1333.4483</v>
          </cell>
          <cell r="L36">
            <v>18.182600000000001</v>
          </cell>
          <cell r="M36">
            <v>0</v>
          </cell>
          <cell r="N36">
            <v>7042.3751705465802</v>
          </cell>
          <cell r="O36">
            <v>35087153.560000002</v>
          </cell>
          <cell r="P36">
            <v>6928998.7000000002</v>
          </cell>
          <cell r="Q36">
            <v>12207836.23</v>
          </cell>
          <cell r="R36">
            <v>174552.95999999999</v>
          </cell>
          <cell r="S36">
            <v>0</v>
          </cell>
          <cell r="T36">
            <v>54398541.450000003</v>
          </cell>
          <cell r="U36">
            <v>17124067</v>
          </cell>
          <cell r="V36">
            <v>37274474.450000003</v>
          </cell>
          <cell r="W36">
            <v>0</v>
          </cell>
          <cell r="X36">
            <v>37274474.450000003</v>
          </cell>
          <cell r="Y36">
            <v>30304289.620000001</v>
          </cell>
        </row>
        <row r="37">
          <cell r="E37" t="str">
            <v>11029</v>
          </cell>
          <cell r="F37" t="str">
            <v>รพ.พิบูลย์รักษ์</v>
          </cell>
          <cell r="G37">
            <v>1.35</v>
          </cell>
          <cell r="H37">
            <v>19462</v>
          </cell>
          <cell r="I37">
            <v>1524.0540674134211</v>
          </cell>
          <cell r="J37">
            <v>300.96965933614223</v>
          </cell>
          <cell r="K37">
            <v>1482.5989</v>
          </cell>
          <cell r="L37">
            <v>23.538900000000002</v>
          </cell>
          <cell r="M37">
            <v>0</v>
          </cell>
          <cell r="N37">
            <v>7042.3751705465802</v>
          </cell>
          <cell r="O37">
            <v>29661140.260000002</v>
          </cell>
          <cell r="P37">
            <v>5857471.5099999998</v>
          </cell>
          <cell r="Q37">
            <v>14095373.76</v>
          </cell>
          <cell r="R37">
            <v>225973.44</v>
          </cell>
          <cell r="S37">
            <v>0</v>
          </cell>
          <cell r="T37">
            <v>49839958.969999999</v>
          </cell>
          <cell r="U37">
            <v>19315577</v>
          </cell>
          <cell r="V37">
            <v>30524381.969999999</v>
          </cell>
          <cell r="W37">
            <v>0</v>
          </cell>
          <cell r="X37">
            <v>30524381.969999999</v>
          </cell>
          <cell r="Y37">
            <v>25616749.850000001</v>
          </cell>
        </row>
        <row r="38">
          <cell r="E38" t="str">
            <v>11446</v>
          </cell>
          <cell r="F38" t="str">
            <v>รพร.บ้านดุง</v>
          </cell>
          <cell r="G38">
            <v>1.1000000000000001</v>
          </cell>
          <cell r="H38">
            <v>98564</v>
          </cell>
          <cell r="I38">
            <v>1041.9852767744815</v>
          </cell>
          <cell r="J38">
            <v>205.77088460289761</v>
          </cell>
          <cell r="K38">
            <v>6844.8869000000004</v>
          </cell>
          <cell r="L38">
            <v>155.17359999999999</v>
          </cell>
          <cell r="M38">
            <v>42.033099999999997</v>
          </cell>
          <cell r="N38">
            <v>7042.3751705465802</v>
          </cell>
          <cell r="O38">
            <v>102702236.81999999</v>
          </cell>
          <cell r="P38">
            <v>20281601.469999999</v>
          </cell>
          <cell r="Q38">
            <v>53024687.780000001</v>
          </cell>
          <cell r="R38">
            <v>1489666.56</v>
          </cell>
          <cell r="S38">
            <v>378297.9</v>
          </cell>
          <cell r="T38">
            <v>177876490.53</v>
          </cell>
          <cell r="U38">
            <v>59770968</v>
          </cell>
          <cell r="V38">
            <v>118105522.53</v>
          </cell>
          <cell r="W38">
            <v>0</v>
          </cell>
          <cell r="X38">
            <v>118105522.53</v>
          </cell>
          <cell r="Y38">
            <v>115699650.34999999</v>
          </cell>
        </row>
        <row r="39">
          <cell r="E39" t="str">
            <v>25058</v>
          </cell>
          <cell r="F39" t="str">
            <v>รพ.กู่แก้ว</v>
          </cell>
          <cell r="G39">
            <v>1.35</v>
          </cell>
          <cell r="H39">
            <v>18224</v>
          </cell>
          <cell r="I39">
            <v>1533.152052787533</v>
          </cell>
          <cell r="J39">
            <v>302.76632627304656</v>
          </cell>
          <cell r="K39">
            <v>940.37959999999998</v>
          </cell>
          <cell r="L39">
            <v>8.8940999999999999</v>
          </cell>
          <cell r="M39">
            <v>0</v>
          </cell>
          <cell r="N39">
            <v>7042.3751705465802</v>
          </cell>
          <cell r="O39">
            <v>27940163.010000002</v>
          </cell>
          <cell r="P39">
            <v>5517613.5300000003</v>
          </cell>
          <cell r="Q39">
            <v>8940383.3100000005</v>
          </cell>
          <cell r="R39">
            <v>85383.360000000001</v>
          </cell>
          <cell r="S39">
            <v>0</v>
          </cell>
          <cell r="T39">
            <v>42483543.210000001</v>
          </cell>
          <cell r="U39">
            <v>12889643</v>
          </cell>
          <cell r="V39">
            <v>29593900.210000001</v>
          </cell>
          <cell r="W39">
            <v>0</v>
          </cell>
          <cell r="X39">
            <v>29593900.210000001</v>
          </cell>
          <cell r="Y39">
            <v>23670246.789999999</v>
          </cell>
        </row>
        <row r="40">
          <cell r="E40" t="str">
            <v>25059</v>
          </cell>
          <cell r="F40" t="str">
            <v>รพ.ประจักษ์ศิลปาคม</v>
          </cell>
          <cell r="G40">
            <v>1.35</v>
          </cell>
          <cell r="H40">
            <v>19204</v>
          </cell>
          <cell r="I40">
            <v>1525.853337325557</v>
          </cell>
          <cell r="J40">
            <v>301.32497812955631</v>
          </cell>
          <cell r="K40">
            <v>727.15110000000004</v>
          </cell>
          <cell r="L40">
            <v>17.854199999999999</v>
          </cell>
          <cell r="M40">
            <v>0</v>
          </cell>
          <cell r="N40">
            <v>7042.3751705465802</v>
          </cell>
          <cell r="O40">
            <v>29302487.489999998</v>
          </cell>
          <cell r="P40">
            <v>5786644.8799999999</v>
          </cell>
          <cell r="Q40">
            <v>6913175.7599999998</v>
          </cell>
          <cell r="R40">
            <v>171400.32000000001</v>
          </cell>
          <cell r="S40">
            <v>0</v>
          </cell>
          <cell r="T40">
            <v>42173708.450000003</v>
          </cell>
          <cell r="U40">
            <v>14154954</v>
          </cell>
          <cell r="V40">
            <v>28018754.449999999</v>
          </cell>
          <cell r="W40">
            <v>0</v>
          </cell>
          <cell r="X40">
            <v>28018754.449999999</v>
          </cell>
          <cell r="Y40">
            <v>22235059.690000001</v>
          </cell>
        </row>
        <row r="41">
          <cell r="E41"/>
          <cell r="F41"/>
          <cell r="G41"/>
          <cell r="H41">
            <v>1159291</v>
          </cell>
          <cell r="I41"/>
          <cell r="J41"/>
          <cell r="K41">
            <v>179445.75459999999</v>
          </cell>
          <cell r="L41">
            <v>3970.0702000000001</v>
          </cell>
          <cell r="M41">
            <v>3089.0718000000002</v>
          </cell>
          <cell r="N41"/>
          <cell r="O41">
            <v>1313067893.1999998</v>
          </cell>
          <cell r="P41">
            <v>259304183.94999996</v>
          </cell>
          <cell r="Q41">
            <v>1334850755.99</v>
          </cell>
          <cell r="R41">
            <v>38112673.920000009</v>
          </cell>
          <cell r="S41">
            <v>27801646.199999999</v>
          </cell>
          <cell r="T41">
            <v>2973137153.2599998</v>
          </cell>
          <cell r="U41">
            <v>1195938268</v>
          </cell>
          <cell r="V41">
            <v>1777198885.2600002</v>
          </cell>
          <cell r="W41">
            <v>9413153.4600000009</v>
          </cell>
          <cell r="X41">
            <v>1786612038.7200003</v>
          </cell>
          <cell r="Y41">
            <v>1618537065.3099997</v>
          </cell>
        </row>
        <row r="42">
          <cell r="E42" t="str">
            <v>10705</v>
          </cell>
          <cell r="F42" t="str">
            <v>รพ.เลย</v>
          </cell>
          <cell r="G42">
            <v>1.1000000000000001</v>
          </cell>
          <cell r="H42">
            <v>92905</v>
          </cell>
          <cell r="I42">
            <v>1092.2474006781122</v>
          </cell>
          <cell r="J42">
            <v>210.12640159302512</v>
          </cell>
          <cell r="K42">
            <v>40982.7598</v>
          </cell>
          <cell r="L42">
            <v>940.09939999999995</v>
          </cell>
          <cell r="M42">
            <v>3496.7195999999999</v>
          </cell>
          <cell r="N42">
            <v>7042.3751705465802</v>
          </cell>
          <cell r="O42">
            <v>101475244.76000001</v>
          </cell>
          <cell r="P42">
            <v>19521793.34</v>
          </cell>
          <cell r="Q42">
            <v>317477567.18000001</v>
          </cell>
          <cell r="R42">
            <v>9024954.2400000002</v>
          </cell>
          <cell r="S42">
            <v>31470476.399999999</v>
          </cell>
          <cell r="T42">
            <v>478970035.92000002</v>
          </cell>
          <cell r="U42">
            <v>226933961</v>
          </cell>
          <cell r="V42">
            <v>252036074.91999999</v>
          </cell>
          <cell r="W42">
            <v>3097094.05</v>
          </cell>
          <cell r="X42">
            <v>255133168.97</v>
          </cell>
          <cell r="Y42">
            <v>255133168.97</v>
          </cell>
        </row>
        <row r="43">
          <cell r="E43" t="str">
            <v>11030</v>
          </cell>
          <cell r="F43" t="str">
            <v>รพ.นาด้วง</v>
          </cell>
          <cell r="G43">
            <v>1.3</v>
          </cell>
          <cell r="H43">
            <v>21409</v>
          </cell>
          <cell r="I43">
            <v>1549.2640286795272</v>
          </cell>
          <cell r="J43">
            <v>298.04719650614226</v>
          </cell>
          <cell r="K43">
            <v>1280.3031000000001</v>
          </cell>
          <cell r="L43">
            <v>18.897400000000001</v>
          </cell>
          <cell r="M43">
            <v>0</v>
          </cell>
          <cell r="N43">
            <v>7042.3751705465802</v>
          </cell>
          <cell r="O43">
            <v>33168193.59</v>
          </cell>
          <cell r="P43">
            <v>6380892.4299999997</v>
          </cell>
          <cell r="Q43">
            <v>11721286.98</v>
          </cell>
          <cell r="R43">
            <v>181415.04000000001</v>
          </cell>
          <cell r="S43">
            <v>0</v>
          </cell>
          <cell r="T43">
            <v>51451788.039999999</v>
          </cell>
          <cell r="U43">
            <v>17741677</v>
          </cell>
          <cell r="V43">
            <v>33710111.039999999</v>
          </cell>
          <cell r="W43">
            <v>0</v>
          </cell>
          <cell r="X43">
            <v>33710111.039999999</v>
          </cell>
          <cell r="Y43">
            <v>27766981.989999998</v>
          </cell>
        </row>
        <row r="44">
          <cell r="E44" t="str">
            <v>11031</v>
          </cell>
          <cell r="F44" t="str">
            <v>รพ.เชียงคาน</v>
          </cell>
          <cell r="G44">
            <v>1.2</v>
          </cell>
          <cell r="H44">
            <v>47161</v>
          </cell>
          <cell r="I44">
            <v>1310.1881749750853</v>
          </cell>
          <cell r="J44">
            <v>252.05381713704119</v>
          </cell>
          <cell r="K44">
            <v>2564.0414000000001</v>
          </cell>
          <cell r="L44">
            <v>32.728200000000001</v>
          </cell>
          <cell r="M44">
            <v>0</v>
          </cell>
          <cell r="N44">
            <v>7042.3751705465802</v>
          </cell>
          <cell r="O44">
            <v>61789784.520000003</v>
          </cell>
          <cell r="P44">
            <v>11887110.07</v>
          </cell>
          <cell r="Q44">
            <v>21668329.93</v>
          </cell>
          <cell r="R44">
            <v>314190.71999999997</v>
          </cell>
          <cell r="S44">
            <v>0</v>
          </cell>
          <cell r="T44">
            <v>95659415.239999995</v>
          </cell>
          <cell r="U44">
            <v>39004774</v>
          </cell>
          <cell r="V44">
            <v>56654641.240000002</v>
          </cell>
          <cell r="W44">
            <v>1997948.93</v>
          </cell>
          <cell r="X44">
            <v>58652590.170000002</v>
          </cell>
          <cell r="Y44">
            <v>58652590.170000002</v>
          </cell>
        </row>
        <row r="45">
          <cell r="E45" t="str">
            <v>11032</v>
          </cell>
          <cell r="F45" t="str">
            <v>รพ.ปากชม</v>
          </cell>
          <cell r="G45">
            <v>1.25</v>
          </cell>
          <cell r="H45">
            <v>34265</v>
          </cell>
          <cell r="I45">
            <v>1416.8792152342041</v>
          </cell>
          <cell r="J45">
            <v>272.57902436888952</v>
          </cell>
          <cell r="K45">
            <v>2354.625</v>
          </cell>
          <cell r="L45">
            <v>50.146599999999999</v>
          </cell>
          <cell r="M45">
            <v>0</v>
          </cell>
          <cell r="N45">
            <v>7042.3751705465802</v>
          </cell>
          <cell r="O45">
            <v>48549366.310000002</v>
          </cell>
          <cell r="P45">
            <v>9339920.2699999996</v>
          </cell>
          <cell r="Q45">
            <v>20727691.149999999</v>
          </cell>
          <cell r="R45">
            <v>481407.36</v>
          </cell>
          <cell r="S45">
            <v>0</v>
          </cell>
          <cell r="T45">
            <v>79098385.090000004</v>
          </cell>
          <cell r="U45">
            <v>22585410</v>
          </cell>
          <cell r="V45">
            <v>56512975.090000004</v>
          </cell>
          <cell r="W45">
            <v>0</v>
          </cell>
          <cell r="X45">
            <v>56512975.090000004</v>
          </cell>
          <cell r="Y45">
            <v>47996250.880000003</v>
          </cell>
        </row>
        <row r="46">
          <cell r="E46" t="str">
            <v>11033</v>
          </cell>
          <cell r="F46" t="str">
            <v>รพ.นาแห้ว</v>
          </cell>
          <cell r="G46">
            <v>1.4</v>
          </cell>
          <cell r="H46">
            <v>8824</v>
          </cell>
          <cell r="I46">
            <v>1716.4497472801452</v>
          </cell>
          <cell r="J46">
            <v>330.21036151405258</v>
          </cell>
          <cell r="K46">
            <v>580.39110000000005</v>
          </cell>
          <cell r="L46">
            <v>16.4788</v>
          </cell>
          <cell r="M46">
            <v>0</v>
          </cell>
          <cell r="N46">
            <v>7042.3751705465802</v>
          </cell>
          <cell r="O46">
            <v>15145952.57</v>
          </cell>
          <cell r="P46">
            <v>2913776.23</v>
          </cell>
          <cell r="Q46">
            <v>5722264.3399999999</v>
          </cell>
          <cell r="R46">
            <v>158196.48000000001</v>
          </cell>
          <cell r="S46">
            <v>0</v>
          </cell>
          <cell r="T46">
            <v>23940189.620000001</v>
          </cell>
          <cell r="U46">
            <v>15304611</v>
          </cell>
          <cell r="V46">
            <v>8635578.6199999992</v>
          </cell>
          <cell r="W46">
            <v>12276632.779999999</v>
          </cell>
          <cell r="X46">
            <v>20912211.399999999</v>
          </cell>
          <cell r="Y46">
            <v>20912211.399999999</v>
          </cell>
        </row>
        <row r="47">
          <cell r="E47" t="str">
            <v>11034</v>
          </cell>
          <cell r="F47" t="str">
            <v>รพ.ภูเรือ</v>
          </cell>
          <cell r="G47">
            <v>1.35</v>
          </cell>
          <cell r="H47">
            <v>18132</v>
          </cell>
          <cell r="I47">
            <v>1583.7917328480034</v>
          </cell>
          <cell r="J47">
            <v>304.68963103904696</v>
          </cell>
          <cell r="K47">
            <v>1000.0644</v>
          </cell>
          <cell r="L47">
            <v>22.388000000000002</v>
          </cell>
          <cell r="M47">
            <v>0</v>
          </cell>
          <cell r="N47">
            <v>7042.3751705465802</v>
          </cell>
          <cell r="O47">
            <v>28717311.699999999</v>
          </cell>
          <cell r="P47">
            <v>5524632.3899999997</v>
          </cell>
          <cell r="Q47">
            <v>9507818.4600000009</v>
          </cell>
          <cell r="R47">
            <v>214924.79999999999</v>
          </cell>
          <cell r="S47">
            <v>0</v>
          </cell>
          <cell r="T47">
            <v>43964687.350000001</v>
          </cell>
          <cell r="U47">
            <v>20355347</v>
          </cell>
          <cell r="V47">
            <v>23609340.350000001</v>
          </cell>
          <cell r="W47">
            <v>0</v>
          </cell>
          <cell r="X47">
            <v>23609340.350000001</v>
          </cell>
          <cell r="Y47">
            <v>22370636.469999999</v>
          </cell>
        </row>
        <row r="48">
          <cell r="E48" t="str">
            <v>11035</v>
          </cell>
          <cell r="F48" t="str">
            <v>รพ.ท่าลี่</v>
          </cell>
          <cell r="G48">
            <v>1.3</v>
          </cell>
          <cell r="H48">
            <v>21233</v>
          </cell>
          <cell r="I48">
            <v>1551.6953638204682</v>
          </cell>
          <cell r="J48">
            <v>298.51493618424149</v>
          </cell>
          <cell r="K48">
            <v>1445.2726</v>
          </cell>
          <cell r="L48">
            <v>20.837199999999999</v>
          </cell>
          <cell r="M48">
            <v>3.6461000000000001</v>
          </cell>
          <cell r="N48">
            <v>7042.3751705465802</v>
          </cell>
          <cell r="O48">
            <v>32947147.66</v>
          </cell>
          <cell r="P48">
            <v>6338367.6399999997</v>
          </cell>
          <cell r="Q48">
            <v>13231597.58</v>
          </cell>
          <cell r="R48">
            <v>200037.12</v>
          </cell>
          <cell r="S48">
            <v>32814.9</v>
          </cell>
          <cell r="T48">
            <v>52749964.899999999</v>
          </cell>
          <cell r="U48">
            <v>25034282</v>
          </cell>
          <cell r="V48">
            <v>27715682.899999999</v>
          </cell>
          <cell r="W48">
            <v>1094420.1200000001</v>
          </cell>
          <cell r="X48">
            <v>28810103.02</v>
          </cell>
          <cell r="Y48">
            <v>28810103.02</v>
          </cell>
        </row>
        <row r="49">
          <cell r="E49" t="str">
            <v>11036</v>
          </cell>
          <cell r="F49" t="str">
            <v>รพ.วังสะพุง</v>
          </cell>
          <cell r="G49">
            <v>1.1000000000000001</v>
          </cell>
          <cell r="H49">
            <v>86991</v>
          </cell>
          <cell r="I49">
            <v>1110.0615077421803</v>
          </cell>
          <cell r="J49">
            <v>213.55347691140466</v>
          </cell>
          <cell r="K49">
            <v>5484.8693000000003</v>
          </cell>
          <cell r="L49">
            <v>83.618700000000004</v>
          </cell>
          <cell r="M49">
            <v>3.7113</v>
          </cell>
          <cell r="N49">
            <v>7042.3751705465802</v>
          </cell>
          <cell r="O49">
            <v>96565360.620000005</v>
          </cell>
          <cell r="P49">
            <v>18577230.510000002</v>
          </cell>
          <cell r="Q49">
            <v>42489157.899999999</v>
          </cell>
          <cell r="R49">
            <v>802739.52</v>
          </cell>
          <cell r="S49">
            <v>33401.699999999997</v>
          </cell>
          <cell r="T49">
            <v>158467890.25</v>
          </cell>
          <cell r="U49">
            <v>79095048</v>
          </cell>
          <cell r="V49">
            <v>79372842.25</v>
          </cell>
          <cell r="W49">
            <v>0</v>
          </cell>
          <cell r="X49">
            <v>79372842.25</v>
          </cell>
          <cell r="Y49">
            <v>76273769.379999995</v>
          </cell>
        </row>
        <row r="50">
          <cell r="E50" t="str">
            <v>11037</v>
          </cell>
          <cell r="F50" t="str">
            <v>รพ.ภูกระดึง</v>
          </cell>
          <cell r="G50">
            <v>1.3</v>
          </cell>
          <cell r="H50">
            <v>26805</v>
          </cell>
          <cell r="I50">
            <v>1490.2167871665733</v>
          </cell>
          <cell r="J50">
            <v>286.68769632531246</v>
          </cell>
          <cell r="K50">
            <v>1525.2987000000001</v>
          </cell>
          <cell r="L50">
            <v>46.270600000000002</v>
          </cell>
          <cell r="M50">
            <v>0</v>
          </cell>
          <cell r="N50">
            <v>7042.3751705465802</v>
          </cell>
          <cell r="O50">
            <v>39945260.979999997</v>
          </cell>
          <cell r="P50">
            <v>7684663.7000000002</v>
          </cell>
          <cell r="Q50">
            <v>13964243.33</v>
          </cell>
          <cell r="R50">
            <v>444197.76</v>
          </cell>
          <cell r="S50">
            <v>0</v>
          </cell>
          <cell r="T50">
            <v>62038365.770000003</v>
          </cell>
          <cell r="U50">
            <v>25405209</v>
          </cell>
          <cell r="V50">
            <v>36633156.770000003</v>
          </cell>
          <cell r="W50">
            <v>0</v>
          </cell>
          <cell r="X50">
            <v>36633156.770000003</v>
          </cell>
          <cell r="Y50">
            <v>30905605.260000002</v>
          </cell>
        </row>
        <row r="51">
          <cell r="E51" t="str">
            <v>11038</v>
          </cell>
          <cell r="F51" t="str">
            <v>รพ.ภูหลวง</v>
          </cell>
          <cell r="G51">
            <v>1.3</v>
          </cell>
          <cell r="H51">
            <v>20120</v>
          </cell>
          <cell r="I51">
            <v>1568.0558305168986</v>
          </cell>
          <cell r="J51">
            <v>301.66236033797219</v>
          </cell>
          <cell r="K51">
            <v>1602.0282999999999</v>
          </cell>
          <cell r="L51">
            <v>18.923400000000001</v>
          </cell>
          <cell r="M51">
            <v>0</v>
          </cell>
          <cell r="N51">
            <v>7042.3751705465802</v>
          </cell>
          <cell r="O51">
            <v>31549283.309999999</v>
          </cell>
          <cell r="P51">
            <v>6069446.6900000004</v>
          </cell>
          <cell r="Q51">
            <v>14666709.689999999</v>
          </cell>
          <cell r="R51">
            <v>181664.64000000001</v>
          </cell>
          <cell r="S51">
            <v>0</v>
          </cell>
          <cell r="T51">
            <v>52467104.329999998</v>
          </cell>
          <cell r="U51">
            <v>20300153</v>
          </cell>
          <cell r="V51">
            <v>32166951.329999998</v>
          </cell>
          <cell r="W51">
            <v>0</v>
          </cell>
          <cell r="X51">
            <v>32166951.329999998</v>
          </cell>
          <cell r="Y51">
            <v>29194127.82</v>
          </cell>
        </row>
        <row r="52">
          <cell r="E52" t="str">
            <v>11039</v>
          </cell>
          <cell r="F52" t="str">
            <v>รพ.ผาขาว</v>
          </cell>
          <cell r="G52">
            <v>1.25</v>
          </cell>
          <cell r="H52">
            <v>32222</v>
          </cell>
          <cell r="I52">
            <v>1438.4591595804109</v>
          </cell>
          <cell r="J52">
            <v>276.73057103842098</v>
          </cell>
          <cell r="K52">
            <v>1936.6090999999999</v>
          </cell>
          <cell r="L52">
            <v>38.115400000000001</v>
          </cell>
          <cell r="M52">
            <v>0</v>
          </cell>
          <cell r="N52">
            <v>7042.3751705465802</v>
          </cell>
          <cell r="O52">
            <v>46350031.039999999</v>
          </cell>
          <cell r="P52">
            <v>8916812.4600000009</v>
          </cell>
          <cell r="Q52">
            <v>17047909.98</v>
          </cell>
          <cell r="R52">
            <v>365907.84</v>
          </cell>
          <cell r="S52">
            <v>0</v>
          </cell>
          <cell r="T52">
            <v>72680661.319999993</v>
          </cell>
          <cell r="U52">
            <v>23058058</v>
          </cell>
          <cell r="V52">
            <v>49622603.32</v>
          </cell>
          <cell r="W52">
            <v>0</v>
          </cell>
          <cell r="X52">
            <v>49622603.32</v>
          </cell>
          <cell r="Y52">
            <v>45976899.130000003</v>
          </cell>
        </row>
        <row r="53">
          <cell r="E53" t="str">
            <v>11447</v>
          </cell>
          <cell r="F53" t="str">
            <v>รพร.ด่านซ้าย</v>
          </cell>
          <cell r="G53">
            <v>1.2</v>
          </cell>
          <cell r="H53">
            <v>41779</v>
          </cell>
          <cell r="I53">
            <v>1351.8456932908878</v>
          </cell>
          <cell r="J53">
            <v>260.06788458316379</v>
          </cell>
          <cell r="K53">
            <v>2521.5257000000001</v>
          </cell>
          <cell r="L53">
            <v>76.670299999999997</v>
          </cell>
          <cell r="M53">
            <v>7.5739999999999998</v>
          </cell>
          <cell r="N53">
            <v>7042.3751705465802</v>
          </cell>
          <cell r="O53">
            <v>56478761.219999999</v>
          </cell>
          <cell r="P53">
            <v>10865376.15</v>
          </cell>
          <cell r="Q53">
            <v>21309035.699999999</v>
          </cell>
          <cell r="R53">
            <v>736034.88</v>
          </cell>
          <cell r="S53">
            <v>68166</v>
          </cell>
          <cell r="T53">
            <v>89457373.950000003</v>
          </cell>
          <cell r="U53">
            <v>39061027</v>
          </cell>
          <cell r="V53">
            <v>50396346.950000003</v>
          </cell>
          <cell r="W53">
            <v>0</v>
          </cell>
          <cell r="X53">
            <v>50396346.950000003</v>
          </cell>
          <cell r="Y53">
            <v>47681412.18</v>
          </cell>
        </row>
        <row r="54">
          <cell r="E54" t="str">
            <v>14133</v>
          </cell>
          <cell r="F54" t="str">
            <v>รพ.เอราวัณ</v>
          </cell>
          <cell r="G54">
            <v>1.25</v>
          </cell>
          <cell r="H54">
            <v>31384</v>
          </cell>
          <cell r="I54">
            <v>1448.1234151159827</v>
          </cell>
          <cell r="J54">
            <v>278.58977918684684</v>
          </cell>
          <cell r="K54">
            <v>1906.1126999999999</v>
          </cell>
          <cell r="L54">
            <v>44.612099999999998</v>
          </cell>
          <cell r="M54">
            <v>0</v>
          </cell>
          <cell r="N54">
            <v>7042.3751705465802</v>
          </cell>
          <cell r="O54">
            <v>45447905.259999998</v>
          </cell>
          <cell r="P54">
            <v>8743261.6300000008</v>
          </cell>
          <cell r="Q54">
            <v>16779451.109999999</v>
          </cell>
          <cell r="R54">
            <v>428276.16</v>
          </cell>
          <cell r="S54">
            <v>0</v>
          </cell>
          <cell r="T54">
            <v>71398894.159999996</v>
          </cell>
          <cell r="U54">
            <v>23223646</v>
          </cell>
          <cell r="V54">
            <v>48175248.159999996</v>
          </cell>
          <cell r="W54">
            <v>0</v>
          </cell>
          <cell r="X54">
            <v>48175248.159999996</v>
          </cell>
          <cell r="Y54">
            <v>43026297.390000001</v>
          </cell>
        </row>
        <row r="55">
          <cell r="E55" t="str">
            <v>28861</v>
          </cell>
          <cell r="F55" t="str">
            <v>รพ.หนองหิน</v>
          </cell>
          <cell r="G55">
            <v>1.35</v>
          </cell>
          <cell r="H55">
            <v>19972</v>
          </cell>
          <cell r="I55">
            <v>1570.1171645303425</v>
          </cell>
          <cell r="J55">
            <v>302.0589194872822</v>
          </cell>
          <cell r="K55">
            <v>1040.8338000000001</v>
          </cell>
          <cell r="L55">
            <v>28.459700000000002</v>
          </cell>
          <cell r="M55">
            <v>0</v>
          </cell>
          <cell r="N55">
            <v>7042.3751705465802</v>
          </cell>
          <cell r="O55">
            <v>31358380.010000002</v>
          </cell>
          <cell r="P55">
            <v>6032720.7400000002</v>
          </cell>
          <cell r="Q55">
            <v>9895421.6400000006</v>
          </cell>
          <cell r="R55">
            <v>273213.12</v>
          </cell>
          <cell r="S55">
            <v>0</v>
          </cell>
          <cell r="T55">
            <v>47559735.509999998</v>
          </cell>
          <cell r="U55">
            <v>18781169</v>
          </cell>
          <cell r="V55">
            <v>28778566.510000002</v>
          </cell>
          <cell r="W55">
            <v>0</v>
          </cell>
          <cell r="X55">
            <v>28778566.510000002</v>
          </cell>
          <cell r="Y55">
            <v>28762598.969999999</v>
          </cell>
        </row>
        <row r="56">
          <cell r="E56"/>
          <cell r="F56"/>
          <cell r="G56"/>
          <cell r="H56">
            <v>503202</v>
          </cell>
          <cell r="I56"/>
          <cell r="J56"/>
          <cell r="K56">
            <v>66224.734999999986</v>
          </cell>
          <cell r="L56">
            <v>1438.2457999999999</v>
          </cell>
          <cell r="M56">
            <v>3511.6509999999998</v>
          </cell>
          <cell r="N56"/>
          <cell r="O56">
            <v>669487983.55000007</v>
          </cell>
          <cell r="P56">
            <v>128796004.24999999</v>
          </cell>
          <cell r="Q56">
            <v>536208484.96999991</v>
          </cell>
          <cell r="R56">
            <v>13807159.68</v>
          </cell>
          <cell r="S56">
            <v>31604858.999999996</v>
          </cell>
          <cell r="T56">
            <v>1379904491.45</v>
          </cell>
          <cell r="U56">
            <v>595884372</v>
          </cell>
          <cell r="V56">
            <v>784020119.45000005</v>
          </cell>
          <cell r="W56">
            <v>18466095.879999999</v>
          </cell>
          <cell r="X56">
            <v>802486215.33000004</v>
          </cell>
          <cell r="Y56">
            <v>763462653.02999997</v>
          </cell>
        </row>
        <row r="57">
          <cell r="E57" t="str">
            <v>10706</v>
          </cell>
          <cell r="F57" t="str">
            <v>รพ.หนองคาย</v>
          </cell>
          <cell r="G57">
            <v>1.1000000000000001</v>
          </cell>
          <cell r="H57">
            <v>113857</v>
          </cell>
          <cell r="I57">
            <v>1025.1564892804131</v>
          </cell>
          <cell r="J57">
            <v>199.33537841327279</v>
          </cell>
          <cell r="K57">
            <v>25036.7287</v>
          </cell>
          <cell r="L57">
            <v>802.25710000000004</v>
          </cell>
          <cell r="M57">
            <v>771.60400000000004</v>
          </cell>
          <cell r="N57">
            <v>7042.3751705465802</v>
          </cell>
          <cell r="O57">
            <v>116721242.40000001</v>
          </cell>
          <cell r="P57">
            <v>22695728.18</v>
          </cell>
          <cell r="Q57">
            <v>193949840.41</v>
          </cell>
          <cell r="R57">
            <v>7701668.1600000001</v>
          </cell>
          <cell r="S57">
            <v>6944436</v>
          </cell>
          <cell r="T57">
            <v>348012915.14999998</v>
          </cell>
          <cell r="U57">
            <v>208014576</v>
          </cell>
          <cell r="V57">
            <v>139998339.15000001</v>
          </cell>
          <cell r="W57">
            <v>305889.76</v>
          </cell>
          <cell r="X57">
            <v>140304228.91</v>
          </cell>
          <cell r="Y57">
            <v>140304228.91</v>
          </cell>
        </row>
        <row r="58">
          <cell r="E58" t="str">
            <v>11042</v>
          </cell>
          <cell r="F58" t="str">
            <v>รพ.โพนพิสัย</v>
          </cell>
          <cell r="G58">
            <v>1.1499999999999999</v>
          </cell>
          <cell r="H58">
            <v>58808</v>
          </cell>
          <cell r="I58">
            <v>1215.3135923683851</v>
          </cell>
          <cell r="J58">
            <v>236.31025829819072</v>
          </cell>
          <cell r="K58">
            <v>4158.5572000000002</v>
          </cell>
          <cell r="L58">
            <v>72.887799999999999</v>
          </cell>
          <cell r="M58">
            <v>0</v>
          </cell>
          <cell r="N58">
            <v>7042.3751705465802</v>
          </cell>
          <cell r="O58">
            <v>71470161.739999995</v>
          </cell>
          <cell r="P58">
            <v>13896933.67</v>
          </cell>
          <cell r="Q58">
            <v>33679038.109999999</v>
          </cell>
          <cell r="R58">
            <v>699722.88</v>
          </cell>
          <cell r="S58">
            <v>0</v>
          </cell>
          <cell r="T58">
            <v>119745856.40000001</v>
          </cell>
          <cell r="U58">
            <v>59216641</v>
          </cell>
          <cell r="V58">
            <v>60529215.399999999</v>
          </cell>
          <cell r="W58">
            <v>7456085.5599999996</v>
          </cell>
          <cell r="X58">
            <v>67985300.959999993</v>
          </cell>
          <cell r="Y58">
            <v>67985300.959999993</v>
          </cell>
        </row>
        <row r="59">
          <cell r="E59" t="str">
            <v>11044</v>
          </cell>
          <cell r="F59" t="str">
            <v>รพ.ศรีเชียงใหม่</v>
          </cell>
          <cell r="G59">
            <v>1.3</v>
          </cell>
          <cell r="H59">
            <v>23615</v>
          </cell>
          <cell r="I59">
            <v>1500.3902828710566</v>
          </cell>
          <cell r="J59">
            <v>291.74166843108196</v>
          </cell>
          <cell r="K59">
            <v>1035.9312</v>
          </cell>
          <cell r="L59">
            <v>31.698699999999999</v>
          </cell>
          <cell r="M59">
            <v>0</v>
          </cell>
          <cell r="N59">
            <v>7042.3751705465802</v>
          </cell>
          <cell r="O59">
            <v>35431716.530000001</v>
          </cell>
          <cell r="P59">
            <v>6889479.5</v>
          </cell>
          <cell r="Q59">
            <v>9484041.2899999991</v>
          </cell>
          <cell r="R59">
            <v>304307.52</v>
          </cell>
          <cell r="S59">
            <v>0</v>
          </cell>
          <cell r="T59">
            <v>52109544.840000004</v>
          </cell>
          <cell r="U59">
            <v>27044830</v>
          </cell>
          <cell r="V59">
            <v>25064714.84</v>
          </cell>
          <cell r="W59">
            <v>0</v>
          </cell>
          <cell r="X59">
            <v>25064714.84</v>
          </cell>
          <cell r="Y59">
            <v>23663704.07</v>
          </cell>
        </row>
        <row r="60">
          <cell r="E60" t="str">
            <v>11045</v>
          </cell>
          <cell r="F60" t="str">
            <v>รพ.สังคม</v>
          </cell>
          <cell r="G60">
            <v>1.3</v>
          </cell>
          <cell r="H60">
            <v>20444</v>
          </cell>
          <cell r="I60">
            <v>1541.0543548229309</v>
          </cell>
          <cell r="J60">
            <v>299.6485472510272</v>
          </cell>
          <cell r="K60">
            <v>1600.0196000000001</v>
          </cell>
          <cell r="L60">
            <v>32.459099999999999</v>
          </cell>
          <cell r="M60">
            <v>0</v>
          </cell>
          <cell r="N60">
            <v>7042.3751705465802</v>
          </cell>
          <cell r="O60">
            <v>31505315.23</v>
          </cell>
          <cell r="P60">
            <v>6126014.9000000004</v>
          </cell>
          <cell r="Q60">
            <v>14648319.939999999</v>
          </cell>
          <cell r="R60">
            <v>311607.36</v>
          </cell>
          <cell r="S60">
            <v>0</v>
          </cell>
          <cell r="T60">
            <v>52591257.43</v>
          </cell>
          <cell r="U60">
            <v>21829206</v>
          </cell>
          <cell r="V60">
            <v>30762051.43</v>
          </cell>
          <cell r="W60">
            <v>0</v>
          </cell>
          <cell r="X60">
            <v>30762051.43</v>
          </cell>
          <cell r="Y60">
            <v>29145258.460000001</v>
          </cell>
        </row>
        <row r="61">
          <cell r="E61" t="str">
            <v>11448</v>
          </cell>
          <cell r="F61" t="str">
            <v>รพร.ท่าบ่อ</v>
          </cell>
          <cell r="G61">
            <v>1.1000000000000001</v>
          </cell>
          <cell r="H61">
            <v>63858</v>
          </cell>
          <cell r="I61">
            <v>1186.4761713489304</v>
          </cell>
          <cell r="J61">
            <v>230.70299915437374</v>
          </cell>
          <cell r="K61">
            <v>15479.2256</v>
          </cell>
          <cell r="L61">
            <v>185.00049999999999</v>
          </cell>
          <cell r="M61">
            <v>272.47050000000002</v>
          </cell>
          <cell r="N61">
            <v>7042.3751705465802</v>
          </cell>
          <cell r="O61">
            <v>75765995.349999994</v>
          </cell>
          <cell r="P61">
            <v>14732232.119999999</v>
          </cell>
          <cell r="Q61">
            <v>119911565.70999999</v>
          </cell>
          <cell r="R61">
            <v>1776004.8</v>
          </cell>
          <cell r="S61">
            <v>2452234.5</v>
          </cell>
          <cell r="T61">
            <v>214638032.47999999</v>
          </cell>
          <cell r="U61">
            <v>101286529</v>
          </cell>
          <cell r="V61">
            <v>113351503.48</v>
          </cell>
          <cell r="W61">
            <v>15385742.85</v>
          </cell>
          <cell r="X61">
            <v>128737246.33</v>
          </cell>
          <cell r="Y61">
            <v>128737246.33</v>
          </cell>
        </row>
        <row r="62">
          <cell r="E62" t="str">
            <v>21356</v>
          </cell>
          <cell r="F62" t="str">
            <v>รพ.สระใคร</v>
          </cell>
          <cell r="G62">
            <v>1.3</v>
          </cell>
          <cell r="H62">
            <v>20258</v>
          </cell>
          <cell r="I62">
            <v>1543.83482969691</v>
          </cell>
          <cell r="J62">
            <v>300.18919389870672</v>
          </cell>
          <cell r="K62">
            <v>764.00919999999996</v>
          </cell>
          <cell r="L62">
            <v>14.5219</v>
          </cell>
          <cell r="M62">
            <v>0</v>
          </cell>
          <cell r="N62">
            <v>7042.3751705465802</v>
          </cell>
          <cell r="O62">
            <v>31275005.98</v>
          </cell>
          <cell r="P62">
            <v>6081232.6900000004</v>
          </cell>
          <cell r="Q62">
            <v>6994571.5300000003</v>
          </cell>
          <cell r="R62">
            <v>139410.23999999999</v>
          </cell>
          <cell r="S62">
            <v>0</v>
          </cell>
          <cell r="T62">
            <v>44490220.439999998</v>
          </cell>
          <cell r="U62">
            <v>16595595</v>
          </cell>
          <cell r="V62">
            <v>27894625.440000001</v>
          </cell>
          <cell r="W62">
            <v>0</v>
          </cell>
          <cell r="X62">
            <v>27894625.440000001</v>
          </cell>
          <cell r="Y62">
            <v>23142609.149999999</v>
          </cell>
        </row>
        <row r="63">
          <cell r="E63" t="str">
            <v>28778</v>
          </cell>
          <cell r="F63" t="str">
            <v>รพ.โพธิ์ตาก</v>
          </cell>
          <cell r="G63">
            <v>1.35</v>
          </cell>
          <cell r="H63">
            <v>11935</v>
          </cell>
          <cell r="I63">
            <v>1637.4258592375365</v>
          </cell>
          <cell r="J63">
            <v>318.38739421868451</v>
          </cell>
          <cell r="K63">
            <v>747.43359999999996</v>
          </cell>
          <cell r="L63">
            <v>16.221900000000002</v>
          </cell>
          <cell r="M63">
            <v>0</v>
          </cell>
          <cell r="N63">
            <v>7042.3751705465802</v>
          </cell>
          <cell r="O63">
            <v>19542677.629999999</v>
          </cell>
          <cell r="P63">
            <v>3799953.55</v>
          </cell>
          <cell r="Q63">
            <v>7106005.8499999996</v>
          </cell>
          <cell r="R63">
            <v>155730.23999999999</v>
          </cell>
          <cell r="S63">
            <v>0</v>
          </cell>
          <cell r="T63">
            <v>30604367.27</v>
          </cell>
          <cell r="U63">
            <v>11433521</v>
          </cell>
          <cell r="V63">
            <v>19170846.27</v>
          </cell>
          <cell r="W63">
            <v>0</v>
          </cell>
          <cell r="X63">
            <v>19170846.27</v>
          </cell>
          <cell r="Y63">
            <v>14052343.65</v>
          </cell>
        </row>
        <row r="64">
          <cell r="E64" t="str">
            <v>28811</v>
          </cell>
          <cell r="F64" t="str">
            <v>รพ.เฝ้าไร่</v>
          </cell>
          <cell r="G64">
            <v>1.25</v>
          </cell>
          <cell r="H64">
            <v>36734</v>
          </cell>
          <cell r="I64">
            <v>1374.3338280611968</v>
          </cell>
          <cell r="J64">
            <v>267.23076577557572</v>
          </cell>
          <cell r="K64">
            <v>1199.5108</v>
          </cell>
          <cell r="L64">
            <v>26.208500000000001</v>
          </cell>
          <cell r="M64">
            <v>0</v>
          </cell>
          <cell r="N64">
            <v>7042.3751705465802</v>
          </cell>
          <cell r="O64">
            <v>50484778.840000004</v>
          </cell>
          <cell r="P64">
            <v>9816454.9499999993</v>
          </cell>
          <cell r="Q64">
            <v>10559256.34</v>
          </cell>
          <cell r="R64">
            <v>251601.6</v>
          </cell>
          <cell r="S64">
            <v>0</v>
          </cell>
          <cell r="T64">
            <v>71112091.730000004</v>
          </cell>
          <cell r="U64">
            <v>17775711</v>
          </cell>
          <cell r="V64">
            <v>53336380.729999997</v>
          </cell>
          <cell r="W64">
            <v>0</v>
          </cell>
          <cell r="X64">
            <v>53336380.729999997</v>
          </cell>
          <cell r="Y64">
            <v>48271510.189999998</v>
          </cell>
        </row>
        <row r="65">
          <cell r="E65" t="str">
            <v>28815</v>
          </cell>
          <cell r="F65" t="str">
            <v>รพ.รัตนวาปี</v>
          </cell>
          <cell r="G65">
            <v>1.3</v>
          </cell>
          <cell r="H65">
            <v>29056</v>
          </cell>
          <cell r="I65">
            <v>1451.2968505644274</v>
          </cell>
          <cell r="J65">
            <v>282.19575268447136</v>
          </cell>
          <cell r="K65">
            <v>756.48389999999995</v>
          </cell>
          <cell r="L65">
            <v>16.392700000000001</v>
          </cell>
          <cell r="M65">
            <v>0</v>
          </cell>
          <cell r="N65">
            <v>7042.3751705465802</v>
          </cell>
          <cell r="O65">
            <v>42168881.289999999</v>
          </cell>
          <cell r="P65">
            <v>8199479.79</v>
          </cell>
          <cell r="Q65">
            <v>6925676.6799999997</v>
          </cell>
          <cell r="R65">
            <v>157369.92000000001</v>
          </cell>
          <cell r="S65">
            <v>0</v>
          </cell>
          <cell r="T65">
            <v>57451407.68</v>
          </cell>
          <cell r="U65">
            <v>15437218</v>
          </cell>
          <cell r="V65">
            <v>42014189.68</v>
          </cell>
          <cell r="W65">
            <v>0</v>
          </cell>
          <cell r="X65">
            <v>42014189.68</v>
          </cell>
          <cell r="Y65">
            <v>32168260.719999999</v>
          </cell>
        </row>
        <row r="66">
          <cell r="E66"/>
          <cell r="F66"/>
          <cell r="G66"/>
          <cell r="H66">
            <v>378565</v>
          </cell>
          <cell r="I66"/>
          <cell r="J66"/>
          <cell r="K66">
            <v>50777.899799999992</v>
          </cell>
          <cell r="L66">
            <v>1197.6482000000001</v>
          </cell>
          <cell r="M66">
            <v>1044.0745000000002</v>
          </cell>
          <cell r="N66"/>
          <cell r="O66">
            <v>474365774.99000007</v>
          </cell>
          <cell r="P66">
            <v>92237509.350000009</v>
          </cell>
          <cell r="Q66">
            <v>403258315.85999995</v>
          </cell>
          <cell r="R66">
            <v>11497422.720000001</v>
          </cell>
          <cell r="S66">
            <v>9396670.5</v>
          </cell>
          <cell r="T66">
            <v>990755693.41999996</v>
          </cell>
          <cell r="U66">
            <v>478633827</v>
          </cell>
          <cell r="V66">
            <v>512121866.42000002</v>
          </cell>
          <cell r="W66">
            <v>23147718.169999998</v>
          </cell>
          <cell r="X66">
            <v>535269584.59000003</v>
          </cell>
          <cell r="Y66">
            <v>507470462.43999994</v>
          </cell>
        </row>
        <row r="67">
          <cell r="E67" t="str">
            <v>10710</v>
          </cell>
          <cell r="F67" t="str">
            <v>รพ.สกลนคร</v>
          </cell>
          <cell r="G67">
            <v>1.05</v>
          </cell>
          <cell r="H67">
            <v>144119</v>
          </cell>
          <cell r="I67">
            <v>933.61620077852342</v>
          </cell>
          <cell r="J67">
            <v>186.95914320804337</v>
          </cell>
          <cell r="K67">
            <v>64935.822200000002</v>
          </cell>
          <cell r="L67">
            <v>1697.0589</v>
          </cell>
          <cell r="M67">
            <v>3289.3168000000001</v>
          </cell>
          <cell r="N67">
            <v>7042.3751705465802</v>
          </cell>
          <cell r="O67">
            <v>134551833.24000001</v>
          </cell>
          <cell r="P67">
            <v>26944364.760000002</v>
          </cell>
          <cell r="Q67">
            <v>480167542.97000003</v>
          </cell>
          <cell r="R67">
            <v>16291765.439999999</v>
          </cell>
          <cell r="S67">
            <v>29603851.199999999</v>
          </cell>
          <cell r="T67">
            <v>687559357.61000001</v>
          </cell>
          <cell r="U67">
            <v>323766736</v>
          </cell>
          <cell r="V67">
            <v>363792621.61000001</v>
          </cell>
          <cell r="W67">
            <v>0</v>
          </cell>
          <cell r="X67">
            <v>363792621.61000001</v>
          </cell>
          <cell r="Y67">
            <v>335430338.27999997</v>
          </cell>
        </row>
        <row r="68">
          <cell r="E68" t="str">
            <v>11089</v>
          </cell>
          <cell r="F68" t="str">
            <v>รพ.กุสุมาลย์</v>
          </cell>
          <cell r="G68">
            <v>1.25</v>
          </cell>
          <cell r="H68">
            <v>35944</v>
          </cell>
          <cell r="I68">
            <v>1329.90210021144</v>
          </cell>
          <cell r="J68">
            <v>266.31645531938568</v>
          </cell>
          <cell r="K68">
            <v>1801.1591000000001</v>
          </cell>
          <cell r="L68">
            <v>37.211599999999997</v>
          </cell>
          <cell r="M68">
            <v>0</v>
          </cell>
          <cell r="N68">
            <v>7042.3751705465802</v>
          </cell>
          <cell r="O68">
            <v>47802001.090000004</v>
          </cell>
          <cell r="P68">
            <v>9572478.6699999999</v>
          </cell>
          <cell r="Q68">
            <v>15855547.83</v>
          </cell>
          <cell r="R68">
            <v>357231.35999999999</v>
          </cell>
          <cell r="S68">
            <v>0</v>
          </cell>
          <cell r="T68">
            <v>73587258.950000003</v>
          </cell>
          <cell r="U68">
            <v>25518937</v>
          </cell>
          <cell r="V68">
            <v>48068321.950000003</v>
          </cell>
          <cell r="W68">
            <v>0</v>
          </cell>
          <cell r="X68">
            <v>48068321.950000003</v>
          </cell>
          <cell r="Y68">
            <v>40614513.039999999</v>
          </cell>
        </row>
        <row r="69">
          <cell r="E69" t="str">
            <v>11090</v>
          </cell>
          <cell r="F69" t="str">
            <v>รพ.กุดบาก</v>
          </cell>
          <cell r="G69">
            <v>1.3</v>
          </cell>
          <cell r="H69">
            <v>24067</v>
          </cell>
          <cell r="I69">
            <v>1439.9110337806956</v>
          </cell>
          <cell r="J69">
            <v>288.34603897452945</v>
          </cell>
          <cell r="K69">
            <v>1380.0408</v>
          </cell>
          <cell r="L69">
            <v>11.3102</v>
          </cell>
          <cell r="M69">
            <v>0</v>
          </cell>
          <cell r="N69">
            <v>7042.3751705465802</v>
          </cell>
          <cell r="O69">
            <v>34654338.850000001</v>
          </cell>
          <cell r="P69">
            <v>6939624.1200000001</v>
          </cell>
          <cell r="Q69">
            <v>12634394.300000001</v>
          </cell>
          <cell r="R69">
            <v>108577.92</v>
          </cell>
          <cell r="S69">
            <v>0</v>
          </cell>
          <cell r="T69">
            <v>54336935.189999998</v>
          </cell>
          <cell r="U69">
            <v>23543178</v>
          </cell>
          <cell r="V69">
            <v>30793757.190000001</v>
          </cell>
          <cell r="W69">
            <v>0</v>
          </cell>
          <cell r="X69">
            <v>30793757.190000001</v>
          </cell>
          <cell r="Y69">
            <v>27603016.539999999</v>
          </cell>
        </row>
        <row r="70">
          <cell r="E70" t="str">
            <v>11091</v>
          </cell>
          <cell r="F70" t="str">
            <v>รพ.พระอาจารย์ฝั้นอาจาโร</v>
          </cell>
          <cell r="G70">
            <v>1.1499999999999999</v>
          </cell>
          <cell r="H70">
            <v>55513</v>
          </cell>
          <cell r="I70">
            <v>1189.0749206492173</v>
          </cell>
          <cell r="J70">
            <v>238.11543566371842</v>
          </cell>
          <cell r="K70">
            <v>3467.9058</v>
          </cell>
          <cell r="L70">
            <v>60.6571</v>
          </cell>
          <cell r="M70">
            <v>0</v>
          </cell>
          <cell r="N70">
            <v>7042.3751705465802</v>
          </cell>
          <cell r="O70">
            <v>66009116.07</v>
          </cell>
          <cell r="P70">
            <v>13218502.18</v>
          </cell>
          <cell r="Q70">
            <v>28085637.969999999</v>
          </cell>
          <cell r="R70">
            <v>582308.16</v>
          </cell>
          <cell r="S70">
            <v>0</v>
          </cell>
          <cell r="T70">
            <v>107895564.38</v>
          </cell>
          <cell r="U70">
            <v>53332333</v>
          </cell>
          <cell r="V70">
            <v>54563231.380000003</v>
          </cell>
          <cell r="W70">
            <v>0</v>
          </cell>
          <cell r="X70">
            <v>54563231.380000003</v>
          </cell>
          <cell r="Y70">
            <v>49008175.850000001</v>
          </cell>
        </row>
        <row r="71">
          <cell r="E71" t="str">
            <v>11092</v>
          </cell>
          <cell r="F71" t="str">
            <v>รพ.พังโคน</v>
          </cell>
          <cell r="G71">
            <v>1.1499999999999999</v>
          </cell>
          <cell r="H71">
            <v>39521</v>
          </cell>
          <cell r="I71">
            <v>1302.0256587636952</v>
          </cell>
          <cell r="J71">
            <v>260.73412337744486</v>
          </cell>
          <cell r="K71">
            <v>3996.7566000000002</v>
          </cell>
          <cell r="L71">
            <v>116.1169</v>
          </cell>
          <cell r="M71">
            <v>0</v>
          </cell>
          <cell r="N71">
            <v>7042.3751705465802</v>
          </cell>
          <cell r="O71">
            <v>51457356.060000002</v>
          </cell>
          <cell r="P71">
            <v>10304473.289999999</v>
          </cell>
          <cell r="Q71">
            <v>32368658.43</v>
          </cell>
          <cell r="R71">
            <v>1114722.24</v>
          </cell>
          <cell r="S71">
            <v>0</v>
          </cell>
          <cell r="T71">
            <v>95245210.019999996</v>
          </cell>
          <cell r="U71">
            <v>49432336</v>
          </cell>
          <cell r="V71">
            <v>45812874.020000003</v>
          </cell>
          <cell r="W71">
            <v>0</v>
          </cell>
          <cell r="X71">
            <v>45812874.020000003</v>
          </cell>
          <cell r="Y71">
            <v>39807852.299999997</v>
          </cell>
        </row>
        <row r="72">
          <cell r="E72" t="str">
            <v>11093</v>
          </cell>
          <cell r="F72" t="str">
            <v>รพ.วาริชภูมิ</v>
          </cell>
          <cell r="G72">
            <v>1.25</v>
          </cell>
          <cell r="H72">
            <v>37339</v>
          </cell>
          <cell r="I72">
            <v>1318.3952133158359</v>
          </cell>
          <cell r="J72">
            <v>264.01217065266877</v>
          </cell>
          <cell r="K72">
            <v>1312.8268</v>
          </cell>
          <cell r="L72">
            <v>20.333600000000001</v>
          </cell>
          <cell r="M72">
            <v>0</v>
          </cell>
          <cell r="N72">
            <v>7042.3751705465802</v>
          </cell>
          <cell r="O72">
            <v>49227558.869999997</v>
          </cell>
          <cell r="P72">
            <v>9857950.4399999995</v>
          </cell>
          <cell r="Q72">
            <v>11556773.57</v>
          </cell>
          <cell r="R72">
            <v>195202.56</v>
          </cell>
          <cell r="S72">
            <v>0</v>
          </cell>
          <cell r="T72">
            <v>70837485.439999998</v>
          </cell>
          <cell r="U72">
            <v>29896276</v>
          </cell>
          <cell r="V72">
            <v>40941209.439999998</v>
          </cell>
          <cell r="W72">
            <v>0</v>
          </cell>
          <cell r="X72">
            <v>40941209.439999998</v>
          </cell>
          <cell r="Y72">
            <v>36254253.359999999</v>
          </cell>
        </row>
        <row r="73">
          <cell r="E73" t="str">
            <v>11094</v>
          </cell>
          <cell r="F73" t="str">
            <v>รพ.นิคมน้ำอูน</v>
          </cell>
          <cell r="G73">
            <v>1.35</v>
          </cell>
          <cell r="H73">
            <v>10627</v>
          </cell>
          <cell r="I73">
            <v>1602.9433273736706</v>
          </cell>
          <cell r="J73">
            <v>320.99369154041591</v>
          </cell>
          <cell r="K73">
            <v>416.00130000000001</v>
          </cell>
          <cell r="L73">
            <v>6.5098000000000003</v>
          </cell>
          <cell r="M73">
            <v>0</v>
          </cell>
          <cell r="N73">
            <v>7042.3751705465802</v>
          </cell>
          <cell r="O73">
            <v>17034478.739999998</v>
          </cell>
          <cell r="P73">
            <v>3411199.96</v>
          </cell>
          <cell r="Q73">
            <v>3955010.57</v>
          </cell>
          <cell r="R73">
            <v>62494.080000000002</v>
          </cell>
          <cell r="S73">
            <v>0</v>
          </cell>
          <cell r="T73">
            <v>24463183.350000001</v>
          </cell>
          <cell r="U73">
            <v>15240143</v>
          </cell>
          <cell r="V73">
            <v>9223040.3499999996</v>
          </cell>
          <cell r="W73">
            <v>4555016.3</v>
          </cell>
          <cell r="X73">
            <v>13778056.65</v>
          </cell>
          <cell r="Y73">
            <v>13778056.65</v>
          </cell>
        </row>
        <row r="74">
          <cell r="E74" t="str">
            <v>11095</v>
          </cell>
          <cell r="F74" t="str">
            <v>รพ.วานรนิวาส</v>
          </cell>
          <cell r="G74">
            <v>1.1499999999999999</v>
          </cell>
          <cell r="H74">
            <v>92525</v>
          </cell>
          <cell r="I74">
            <v>1037.9429557416915</v>
          </cell>
          <cell r="J74">
            <v>207.85085512023778</v>
          </cell>
          <cell r="K74">
            <v>10181.222100000001</v>
          </cell>
          <cell r="L74">
            <v>190.64879999999999</v>
          </cell>
          <cell r="M74">
            <v>236.4572</v>
          </cell>
          <cell r="N74">
            <v>7042.3751705465802</v>
          </cell>
          <cell r="O74">
            <v>96035671.980000004</v>
          </cell>
          <cell r="P74">
            <v>19231400.370000001</v>
          </cell>
          <cell r="Q74">
            <v>82454983.480000004</v>
          </cell>
          <cell r="R74">
            <v>1830228.48</v>
          </cell>
          <cell r="S74">
            <v>2128114.7999999998</v>
          </cell>
          <cell r="T74">
            <v>201680399.11000001</v>
          </cell>
          <cell r="U74">
            <v>74830627</v>
          </cell>
          <cell r="V74">
            <v>126849772.11</v>
          </cell>
          <cell r="W74">
            <v>0</v>
          </cell>
          <cell r="X74">
            <v>126849772.11</v>
          </cell>
          <cell r="Y74">
            <v>117148240.28</v>
          </cell>
        </row>
        <row r="75">
          <cell r="E75" t="str">
            <v>11096</v>
          </cell>
          <cell r="F75" t="str">
            <v>รพ.คำตากล้า</v>
          </cell>
          <cell r="G75">
            <v>1.25</v>
          </cell>
          <cell r="H75">
            <v>30686</v>
          </cell>
          <cell r="I75">
            <v>1382.6769031480155</v>
          </cell>
          <cell r="J75">
            <v>276.88475070064527</v>
          </cell>
          <cell r="K75">
            <v>1576.0279</v>
          </cell>
          <cell r="L75">
            <v>31.1203</v>
          </cell>
          <cell r="M75">
            <v>0</v>
          </cell>
          <cell r="N75">
            <v>7042.3751705465802</v>
          </cell>
          <cell r="O75">
            <v>42428823.450000003</v>
          </cell>
          <cell r="P75">
            <v>8496485.4600000009</v>
          </cell>
          <cell r="Q75">
            <v>13873724.859999999</v>
          </cell>
          <cell r="R75">
            <v>298754.88</v>
          </cell>
          <cell r="S75">
            <v>0</v>
          </cell>
          <cell r="T75">
            <v>65097788.649999999</v>
          </cell>
          <cell r="U75">
            <v>26599910</v>
          </cell>
          <cell r="V75">
            <v>38497878.649999999</v>
          </cell>
          <cell r="W75">
            <v>0</v>
          </cell>
          <cell r="X75">
            <v>38497878.649999999</v>
          </cell>
          <cell r="Y75">
            <v>35425794.219999999</v>
          </cell>
        </row>
        <row r="76">
          <cell r="E76" t="str">
            <v>11097</v>
          </cell>
          <cell r="F76" t="str">
            <v>รพ.บ้านม่วง</v>
          </cell>
          <cell r="G76">
            <v>1.1499999999999999</v>
          </cell>
          <cell r="H76">
            <v>53059</v>
          </cell>
          <cell r="I76">
            <v>1204.6838406302418</v>
          </cell>
          <cell r="J76">
            <v>241.2411636103206</v>
          </cell>
          <cell r="K76">
            <v>2978.4609</v>
          </cell>
          <cell r="L76">
            <v>78.653800000000004</v>
          </cell>
          <cell r="M76">
            <v>0</v>
          </cell>
          <cell r="N76">
            <v>7042.3751705465802</v>
          </cell>
          <cell r="O76">
            <v>63919319.899999999</v>
          </cell>
          <cell r="P76">
            <v>12800014.9</v>
          </cell>
          <cell r="Q76">
            <v>24121754.710000001</v>
          </cell>
          <cell r="R76">
            <v>755076.48</v>
          </cell>
          <cell r="S76">
            <v>0</v>
          </cell>
          <cell r="T76">
            <v>101596165.98999999</v>
          </cell>
          <cell r="U76">
            <v>41768850</v>
          </cell>
          <cell r="V76">
            <v>59827315.990000002</v>
          </cell>
          <cell r="W76">
            <v>436446.13</v>
          </cell>
          <cell r="X76">
            <v>60263762.119999997</v>
          </cell>
          <cell r="Y76">
            <v>60263762.119999997</v>
          </cell>
        </row>
        <row r="77">
          <cell r="E77" t="str">
            <v>11098</v>
          </cell>
          <cell r="F77" t="str">
            <v>รพ.อากาศอำนวย</v>
          </cell>
          <cell r="G77">
            <v>1.1499999999999999</v>
          </cell>
          <cell r="H77">
            <v>53459</v>
          </cell>
          <cell r="I77">
            <v>1202.0418445911821</v>
          </cell>
          <cell r="J77">
            <v>240.71209693409904</v>
          </cell>
          <cell r="K77">
            <v>4128.3132999999998</v>
          </cell>
          <cell r="L77">
            <v>50.147500000000001</v>
          </cell>
          <cell r="M77">
            <v>0</v>
          </cell>
          <cell r="N77">
            <v>7042.3751705465802</v>
          </cell>
          <cell r="O77">
            <v>64259954.969999999</v>
          </cell>
          <cell r="P77">
            <v>12868227.99</v>
          </cell>
          <cell r="Q77">
            <v>33434100.780000001</v>
          </cell>
          <cell r="R77">
            <v>481416</v>
          </cell>
          <cell r="S77">
            <v>0</v>
          </cell>
          <cell r="T77">
            <v>111043699.73999999</v>
          </cell>
          <cell r="U77">
            <v>51639122</v>
          </cell>
          <cell r="V77">
            <v>59404577.740000002</v>
          </cell>
          <cell r="W77">
            <v>0</v>
          </cell>
          <cell r="X77">
            <v>59404577.740000002</v>
          </cell>
          <cell r="Y77">
            <v>56581134.960000001</v>
          </cell>
        </row>
        <row r="78">
          <cell r="E78" t="str">
            <v>11099</v>
          </cell>
          <cell r="F78" t="str">
            <v>รพ.ส่องดาว</v>
          </cell>
          <cell r="G78">
            <v>1.3</v>
          </cell>
          <cell r="H78">
            <v>26548</v>
          </cell>
          <cell r="I78">
            <v>1416.7637302244989</v>
          </cell>
          <cell r="J78">
            <v>283.7107292451409</v>
          </cell>
          <cell r="K78">
            <v>1494.0741</v>
          </cell>
          <cell r="L78">
            <v>23.474</v>
          </cell>
          <cell r="M78">
            <v>0</v>
          </cell>
          <cell r="N78">
            <v>7042.3751705465802</v>
          </cell>
          <cell r="O78">
            <v>37612243.509999998</v>
          </cell>
          <cell r="P78">
            <v>7531952.4400000004</v>
          </cell>
          <cell r="Q78">
            <v>13678379.24</v>
          </cell>
          <cell r="R78">
            <v>225350.39999999999</v>
          </cell>
          <cell r="S78">
            <v>0</v>
          </cell>
          <cell r="T78">
            <v>59047925.590000004</v>
          </cell>
          <cell r="U78">
            <v>22407772</v>
          </cell>
          <cell r="V78">
            <v>36640153.590000004</v>
          </cell>
          <cell r="W78">
            <v>0</v>
          </cell>
          <cell r="X78">
            <v>36640153.590000004</v>
          </cell>
          <cell r="Y78">
            <v>33098678.140000001</v>
          </cell>
        </row>
        <row r="79">
          <cell r="E79" t="str">
            <v>11100</v>
          </cell>
          <cell r="F79" t="str">
            <v>รพ.เต่างอย</v>
          </cell>
          <cell r="G79">
            <v>1.35</v>
          </cell>
          <cell r="H79">
            <v>17941</v>
          </cell>
          <cell r="I79">
            <v>1504.9383222785798</v>
          </cell>
          <cell r="J79">
            <v>301.36792765174738</v>
          </cell>
          <cell r="K79">
            <v>1129.8635999999999</v>
          </cell>
          <cell r="L79">
            <v>58.882899999999999</v>
          </cell>
          <cell r="M79">
            <v>0</v>
          </cell>
          <cell r="N79">
            <v>7042.3751705465802</v>
          </cell>
          <cell r="O79">
            <v>27000098.440000001</v>
          </cell>
          <cell r="P79">
            <v>5406841.9900000002</v>
          </cell>
          <cell r="Q79">
            <v>10741846.82</v>
          </cell>
          <cell r="R79">
            <v>565275.84</v>
          </cell>
          <cell r="S79">
            <v>0</v>
          </cell>
          <cell r="T79">
            <v>43714063.090000004</v>
          </cell>
          <cell r="U79">
            <v>21559567</v>
          </cell>
          <cell r="V79">
            <v>22154496.09</v>
          </cell>
          <cell r="W79">
            <v>0</v>
          </cell>
          <cell r="X79">
            <v>22154496.09</v>
          </cell>
          <cell r="Y79">
            <v>20859686.780000001</v>
          </cell>
        </row>
        <row r="80">
          <cell r="E80" t="str">
            <v>11101</v>
          </cell>
          <cell r="F80" t="str">
            <v>รพ.โคกศรีสุพรรณ</v>
          </cell>
          <cell r="G80">
            <v>1.3</v>
          </cell>
          <cell r="H80">
            <v>24830</v>
          </cell>
          <cell r="I80">
            <v>1432.2998316552557</v>
          </cell>
          <cell r="J80">
            <v>286.82187515102697</v>
          </cell>
          <cell r="K80">
            <v>1659.4283</v>
          </cell>
          <cell r="L80">
            <v>32.650300000000001</v>
          </cell>
          <cell r="M80">
            <v>0</v>
          </cell>
          <cell r="N80">
            <v>7042.3751705465802</v>
          </cell>
          <cell r="O80">
            <v>35564004.82</v>
          </cell>
          <cell r="P80">
            <v>7121787.1600000001</v>
          </cell>
          <cell r="Q80">
            <v>15192211.720000001</v>
          </cell>
          <cell r="R80">
            <v>313442.88</v>
          </cell>
          <cell r="S80">
            <v>0</v>
          </cell>
          <cell r="T80">
            <v>58191446.579999998</v>
          </cell>
          <cell r="U80">
            <v>31182818</v>
          </cell>
          <cell r="V80">
            <v>27008628.579999998</v>
          </cell>
          <cell r="W80">
            <v>1296005.8700000001</v>
          </cell>
          <cell r="X80">
            <v>28304634.449999999</v>
          </cell>
          <cell r="Y80">
            <v>28304634.449999999</v>
          </cell>
        </row>
        <row r="81">
          <cell r="E81" t="str">
            <v>11102</v>
          </cell>
          <cell r="F81" t="str">
            <v>รพ.เจริญศิลป์</v>
          </cell>
          <cell r="G81">
            <v>1.25</v>
          </cell>
          <cell r="H81">
            <v>33198</v>
          </cell>
          <cell r="I81">
            <v>1355.3783167660702</v>
          </cell>
          <cell r="J81">
            <v>271.4181360322911</v>
          </cell>
          <cell r="K81">
            <v>1213.3333</v>
          </cell>
          <cell r="L81">
            <v>24.559200000000001</v>
          </cell>
          <cell r="M81">
            <v>0</v>
          </cell>
          <cell r="N81">
            <v>7042.3751705465802</v>
          </cell>
          <cell r="O81">
            <v>44995849.359999999</v>
          </cell>
          <cell r="P81">
            <v>9010539.2799999993</v>
          </cell>
          <cell r="Q81">
            <v>10680935.210000001</v>
          </cell>
          <cell r="R81">
            <v>235768.32000000001</v>
          </cell>
          <cell r="S81">
            <v>0</v>
          </cell>
          <cell r="T81">
            <v>64923092.170000002</v>
          </cell>
          <cell r="U81">
            <v>25151893</v>
          </cell>
          <cell r="V81">
            <v>39771199.170000002</v>
          </cell>
          <cell r="W81">
            <v>0</v>
          </cell>
          <cell r="X81">
            <v>39771199.170000002</v>
          </cell>
          <cell r="Y81">
            <v>36874172.780000001</v>
          </cell>
        </row>
        <row r="82">
          <cell r="E82" t="str">
            <v>11103</v>
          </cell>
          <cell r="F82" t="str">
            <v>รพ.โพนนาแก้ว</v>
          </cell>
          <cell r="G82">
            <v>1.3</v>
          </cell>
          <cell r="H82">
            <v>28207</v>
          </cell>
          <cell r="I82">
            <v>1403.5573109511824</v>
          </cell>
          <cell r="J82">
            <v>281.06610841280531</v>
          </cell>
          <cell r="K82">
            <v>1427.8164999999999</v>
          </cell>
          <cell r="L82">
            <v>17.187799999999999</v>
          </cell>
          <cell r="M82">
            <v>1.9117999999999999</v>
          </cell>
          <cell r="N82">
            <v>7042.3751705465802</v>
          </cell>
          <cell r="O82">
            <v>39590141.07</v>
          </cell>
          <cell r="P82">
            <v>7928031.7199999997</v>
          </cell>
          <cell r="Q82">
            <v>13071785.66</v>
          </cell>
          <cell r="R82">
            <v>165002.88</v>
          </cell>
          <cell r="S82">
            <v>17206.2</v>
          </cell>
          <cell r="T82">
            <v>60772167.530000001</v>
          </cell>
          <cell r="U82">
            <v>22229526</v>
          </cell>
          <cell r="V82">
            <v>38542641.530000001</v>
          </cell>
          <cell r="W82">
            <v>0</v>
          </cell>
          <cell r="X82">
            <v>38542641.530000001</v>
          </cell>
          <cell r="Y82">
            <v>36690893.68</v>
          </cell>
        </row>
        <row r="83">
          <cell r="E83" t="str">
            <v>11450</v>
          </cell>
          <cell r="F83" t="str">
            <v>รพร.สว่างแดนดิน</v>
          </cell>
          <cell r="G83">
            <v>1.1499999999999999</v>
          </cell>
          <cell r="H83">
            <v>114215</v>
          </cell>
          <cell r="I83">
            <v>986.38108076872561</v>
          </cell>
          <cell r="J83">
            <v>197.52545164820734</v>
          </cell>
          <cell r="K83">
            <v>12707.294400000001</v>
          </cell>
          <cell r="L83">
            <v>266.36020000000002</v>
          </cell>
          <cell r="M83">
            <v>277.48110000000003</v>
          </cell>
          <cell r="N83">
            <v>7042.3751705465802</v>
          </cell>
          <cell r="O83">
            <v>112659515.14</v>
          </cell>
          <cell r="P83">
            <v>22560369.460000001</v>
          </cell>
          <cell r="Q83">
            <v>102912965.03</v>
          </cell>
          <cell r="R83">
            <v>2557057.92</v>
          </cell>
          <cell r="S83">
            <v>2497329.9</v>
          </cell>
          <cell r="T83">
            <v>243187237.44999999</v>
          </cell>
          <cell r="U83">
            <v>109859571</v>
          </cell>
          <cell r="V83">
            <v>133327666.45</v>
          </cell>
          <cell r="W83">
            <v>27810456.699999999</v>
          </cell>
          <cell r="X83">
            <v>161138123.15000001</v>
          </cell>
          <cell r="Y83">
            <v>161138123.15000001</v>
          </cell>
        </row>
        <row r="84">
          <cell r="E84" t="str">
            <v>21323</v>
          </cell>
          <cell r="F84" t="str">
            <v>รพ.พระอาจารย์แบน  ธนากโร</v>
          </cell>
          <cell r="G84">
            <v>1.3</v>
          </cell>
          <cell r="H84">
            <v>28522</v>
          </cell>
          <cell r="I84">
            <v>1401.2233093752191</v>
          </cell>
          <cell r="J84">
            <v>280.5987185330622</v>
          </cell>
          <cell r="K84">
            <v>907.36059999999998</v>
          </cell>
          <cell r="L84">
            <v>28.359000000000002</v>
          </cell>
          <cell r="M84">
            <v>0</v>
          </cell>
          <cell r="N84">
            <v>7042.3751705465802</v>
          </cell>
          <cell r="O84">
            <v>39965691.229999997</v>
          </cell>
          <cell r="P84">
            <v>8003236.6500000004</v>
          </cell>
          <cell r="Q84">
            <v>8306966.0300000003</v>
          </cell>
          <cell r="R84">
            <v>272246.40000000002</v>
          </cell>
          <cell r="S84">
            <v>0</v>
          </cell>
          <cell r="T84">
            <v>56548140.310000002</v>
          </cell>
          <cell r="U84">
            <v>21853931</v>
          </cell>
          <cell r="V84">
            <v>34694209.310000002</v>
          </cell>
          <cell r="W84">
            <v>0</v>
          </cell>
          <cell r="X84">
            <v>34694209.310000002</v>
          </cell>
          <cell r="Y84">
            <v>31609200.859999999</v>
          </cell>
        </row>
        <row r="85">
          <cell r="E85"/>
          <cell r="F85"/>
          <cell r="G85"/>
          <cell r="H85">
            <v>850320</v>
          </cell>
          <cell r="I85"/>
          <cell r="J85"/>
          <cell r="K85">
            <v>116713.70759999998</v>
          </cell>
          <cell r="L85">
            <v>2751.2419000000004</v>
          </cell>
          <cell r="M85">
            <v>3805.1668999999997</v>
          </cell>
          <cell r="N85"/>
          <cell r="O85">
            <v>1004767996.7900002</v>
          </cell>
          <cell r="P85">
            <v>201207480.84000003</v>
          </cell>
          <cell r="Q85">
            <v>913093219.18000019</v>
          </cell>
          <cell r="R85">
            <v>26411922.239999987</v>
          </cell>
          <cell r="S85">
            <v>34246502.100000001</v>
          </cell>
          <cell r="T85">
            <v>2179727121.1499996</v>
          </cell>
          <cell r="U85">
            <v>969813526</v>
          </cell>
          <cell r="V85">
            <v>1209913595.1499999</v>
          </cell>
          <cell r="W85">
            <v>34097925</v>
          </cell>
          <cell r="X85">
            <v>1244011520.1499999</v>
          </cell>
          <cell r="Y85">
            <v>1160490527.4400001</v>
          </cell>
        </row>
        <row r="86">
          <cell r="E86" t="str">
            <v>10711</v>
          </cell>
          <cell r="F86" t="str">
            <v>รพ.นครพนม</v>
          </cell>
          <cell r="G86">
            <v>1.1000000000000001</v>
          </cell>
          <cell r="H86">
            <v>109113</v>
          </cell>
          <cell r="I86">
            <v>999.05188236048878</v>
          </cell>
          <cell r="J86">
            <v>199.29685317056629</v>
          </cell>
          <cell r="K86">
            <v>25516.167799999999</v>
          </cell>
          <cell r="L86">
            <v>671.09690000000001</v>
          </cell>
          <cell r="M86">
            <v>714.05830000000003</v>
          </cell>
          <cell r="N86">
            <v>7042.3751705465802</v>
          </cell>
          <cell r="O86">
            <v>109009548.04000001</v>
          </cell>
          <cell r="P86">
            <v>21745877.539999999</v>
          </cell>
          <cell r="Q86">
            <v>197663869.36000001</v>
          </cell>
          <cell r="R86">
            <v>6442530.2400000002</v>
          </cell>
          <cell r="S86">
            <v>6426524.7000000002</v>
          </cell>
          <cell r="T86">
            <v>341288349.88</v>
          </cell>
          <cell r="U86">
            <v>205387946</v>
          </cell>
          <cell r="V86">
            <v>135900403.88</v>
          </cell>
          <cell r="W86">
            <v>0</v>
          </cell>
          <cell r="X86">
            <v>135900403.88</v>
          </cell>
          <cell r="Y86">
            <v>128746308.27</v>
          </cell>
        </row>
        <row r="87">
          <cell r="E87" t="str">
            <v>11104</v>
          </cell>
          <cell r="F87" t="str">
            <v>รพ.ปลาปาก</v>
          </cell>
          <cell r="G87">
            <v>1.2</v>
          </cell>
          <cell r="H87">
            <v>40027</v>
          </cell>
          <cell r="I87">
            <v>1301.535607964624</v>
          </cell>
          <cell r="J87">
            <v>259.63811851999901</v>
          </cell>
          <cell r="K87">
            <v>924.58839999999998</v>
          </cell>
          <cell r="L87">
            <v>14.5588</v>
          </cell>
          <cell r="M87">
            <v>0</v>
          </cell>
          <cell r="N87">
            <v>7042.3751705465802</v>
          </cell>
          <cell r="O87">
            <v>52096565.780000001</v>
          </cell>
          <cell r="P87">
            <v>10392534.970000001</v>
          </cell>
          <cell r="Q87">
            <v>7813558.21</v>
          </cell>
          <cell r="R87">
            <v>139764.48000000001</v>
          </cell>
          <cell r="S87">
            <v>0</v>
          </cell>
          <cell r="T87">
            <v>70442423.439999998</v>
          </cell>
          <cell r="U87">
            <v>27908686</v>
          </cell>
          <cell r="V87">
            <v>42533737.439999998</v>
          </cell>
          <cell r="W87">
            <v>0</v>
          </cell>
          <cell r="X87">
            <v>42533737.439999998</v>
          </cell>
          <cell r="Y87">
            <v>38667037.390000001</v>
          </cell>
        </row>
        <row r="88">
          <cell r="E88" t="str">
            <v>11105</v>
          </cell>
          <cell r="F88" t="str">
            <v>รพ.ท่าอุเทน</v>
          </cell>
          <cell r="G88">
            <v>1.2</v>
          </cell>
          <cell r="H88">
            <v>44722</v>
          </cell>
          <cell r="I88">
            <v>1263.4747895890166</v>
          </cell>
          <cell r="J88">
            <v>252.04551831313447</v>
          </cell>
          <cell r="K88">
            <v>1245.3439000000001</v>
          </cell>
          <cell r="L88">
            <v>28.5381</v>
          </cell>
          <cell r="M88">
            <v>0</v>
          </cell>
          <cell r="N88">
            <v>7042.3751705465802</v>
          </cell>
          <cell r="O88">
            <v>56505119.539999999</v>
          </cell>
          <cell r="P88">
            <v>11271979.67</v>
          </cell>
          <cell r="Q88">
            <v>10524214.890000001</v>
          </cell>
          <cell r="R88">
            <v>273965.76</v>
          </cell>
          <cell r="S88">
            <v>0</v>
          </cell>
          <cell r="T88">
            <v>78575279.859999999</v>
          </cell>
          <cell r="U88">
            <v>36981964</v>
          </cell>
          <cell r="V88">
            <v>41593315.859999999</v>
          </cell>
          <cell r="W88">
            <v>0</v>
          </cell>
          <cell r="X88">
            <v>41593315.859999999</v>
          </cell>
          <cell r="Y88">
            <v>34856173.670000002</v>
          </cell>
        </row>
        <row r="89">
          <cell r="E89" t="str">
            <v>11106</v>
          </cell>
          <cell r="F89" t="str">
            <v>รพ.บ้านแพง</v>
          </cell>
          <cell r="G89">
            <v>1.3</v>
          </cell>
          <cell r="H89">
            <v>27134</v>
          </cell>
          <cell r="I89">
            <v>1415.2946487801282</v>
          </cell>
          <cell r="J89">
            <v>282.33145315839909</v>
          </cell>
          <cell r="K89">
            <v>1291.7336</v>
          </cell>
          <cell r="L89">
            <v>36.531300000000002</v>
          </cell>
          <cell r="M89">
            <v>0</v>
          </cell>
          <cell r="N89">
            <v>7042.3751705465802</v>
          </cell>
          <cell r="O89">
            <v>38402605</v>
          </cell>
          <cell r="P89">
            <v>7660781.6500000004</v>
          </cell>
          <cell r="Q89">
            <v>11825934.560000001</v>
          </cell>
          <cell r="R89">
            <v>350700.48</v>
          </cell>
          <cell r="S89">
            <v>0</v>
          </cell>
          <cell r="T89">
            <v>58240021.689999998</v>
          </cell>
          <cell r="U89">
            <v>25998966</v>
          </cell>
          <cell r="V89">
            <v>32241055.690000001</v>
          </cell>
          <cell r="W89">
            <v>0</v>
          </cell>
          <cell r="X89">
            <v>32241055.690000001</v>
          </cell>
          <cell r="Y89">
            <v>24490811.07</v>
          </cell>
        </row>
        <row r="90">
          <cell r="E90" t="str">
            <v>11107</v>
          </cell>
          <cell r="F90" t="str">
            <v>รพ.นาทม</v>
          </cell>
          <cell r="G90">
            <v>1.35</v>
          </cell>
          <cell r="H90">
            <v>17744</v>
          </cell>
          <cell r="I90">
            <v>1510.1259873760143</v>
          </cell>
          <cell r="J90">
            <v>301.24897655545533</v>
          </cell>
          <cell r="K90">
            <v>848.11040000000003</v>
          </cell>
          <cell r="L90">
            <v>8.4916999999999998</v>
          </cell>
          <cell r="M90">
            <v>0</v>
          </cell>
          <cell r="N90">
            <v>7042.3751705465802</v>
          </cell>
          <cell r="O90">
            <v>26795675.52</v>
          </cell>
          <cell r="P90">
            <v>5345361.84</v>
          </cell>
          <cell r="Q90">
            <v>8063160.4100000001</v>
          </cell>
          <cell r="R90">
            <v>81520.320000000007</v>
          </cell>
          <cell r="S90">
            <v>0</v>
          </cell>
          <cell r="T90">
            <v>40285718.090000004</v>
          </cell>
          <cell r="U90">
            <v>18659948</v>
          </cell>
          <cell r="V90">
            <v>21625770.09</v>
          </cell>
          <cell r="W90">
            <v>247484.82</v>
          </cell>
          <cell r="X90">
            <v>21873254.91</v>
          </cell>
          <cell r="Y90">
            <v>21873254.91</v>
          </cell>
        </row>
        <row r="91">
          <cell r="E91" t="str">
            <v>11108</v>
          </cell>
          <cell r="F91" t="str">
            <v>รพ.เรณูนคร</v>
          </cell>
          <cell r="G91">
            <v>1.25</v>
          </cell>
          <cell r="H91">
            <v>32932</v>
          </cell>
          <cell r="I91">
            <v>1361.3231820114174</v>
          </cell>
          <cell r="J91">
            <v>271.56490161545003</v>
          </cell>
          <cell r="K91">
            <v>1584.6184000000001</v>
          </cell>
          <cell r="L91">
            <v>27.335699999999999</v>
          </cell>
          <cell r="M91">
            <v>0</v>
          </cell>
          <cell r="N91">
            <v>7042.3751705465802</v>
          </cell>
          <cell r="O91">
            <v>44831095.030000001</v>
          </cell>
          <cell r="P91">
            <v>8943175.3399999999</v>
          </cell>
          <cell r="Q91">
            <v>13949346.59</v>
          </cell>
          <cell r="R91">
            <v>262422.71999999997</v>
          </cell>
          <cell r="S91">
            <v>0</v>
          </cell>
          <cell r="T91">
            <v>67986039.680000007</v>
          </cell>
          <cell r="U91">
            <v>42505656</v>
          </cell>
          <cell r="V91">
            <v>25480383.68</v>
          </cell>
          <cell r="W91">
            <v>0</v>
          </cell>
          <cell r="X91">
            <v>25480383.68</v>
          </cell>
          <cell r="Y91">
            <v>23334103.899999999</v>
          </cell>
        </row>
        <row r="92">
          <cell r="E92" t="str">
            <v>11109</v>
          </cell>
          <cell r="F92" t="str">
            <v>รพ.นาแก</v>
          </cell>
          <cell r="G92">
            <v>1.1499999999999999</v>
          </cell>
          <cell r="H92">
            <v>55055</v>
          </cell>
          <cell r="I92">
            <v>1194.7359119062755</v>
          </cell>
          <cell r="J92">
            <v>238.33307528834803</v>
          </cell>
          <cell r="K92">
            <v>1882.6287</v>
          </cell>
          <cell r="L92">
            <v>43.42</v>
          </cell>
          <cell r="M92">
            <v>0</v>
          </cell>
          <cell r="N92">
            <v>7042.3751705465802</v>
          </cell>
          <cell r="O92">
            <v>65776185.630000003</v>
          </cell>
          <cell r="P92">
            <v>13121427.460000001</v>
          </cell>
          <cell r="Q92">
            <v>15246904.220000001</v>
          </cell>
          <cell r="R92">
            <v>416832</v>
          </cell>
          <cell r="S92">
            <v>0</v>
          </cell>
          <cell r="T92">
            <v>94561349.310000002</v>
          </cell>
          <cell r="U92">
            <v>47872280</v>
          </cell>
          <cell r="V92">
            <v>46689069.310000002</v>
          </cell>
          <cell r="W92">
            <v>0</v>
          </cell>
          <cell r="X92">
            <v>46689069.310000002</v>
          </cell>
          <cell r="Y92">
            <v>45321844.409999996</v>
          </cell>
        </row>
        <row r="93">
          <cell r="E93" t="str">
            <v>11110</v>
          </cell>
          <cell r="F93" t="str">
            <v>รพ.ศรีสงคราม</v>
          </cell>
          <cell r="G93">
            <v>1.1499999999999999</v>
          </cell>
          <cell r="H93">
            <v>53472</v>
          </cell>
          <cell r="I93">
            <v>1204.8342117369839</v>
          </cell>
          <cell r="J93">
            <v>240.34754469628965</v>
          </cell>
          <cell r="K93">
            <v>3523.2865999999999</v>
          </cell>
          <cell r="L93">
            <v>50.103400000000001</v>
          </cell>
          <cell r="M93">
            <v>18.575600000000001</v>
          </cell>
          <cell r="N93">
            <v>7042.3751705465802</v>
          </cell>
          <cell r="O93">
            <v>64424894.969999999</v>
          </cell>
          <cell r="P93">
            <v>12851863.91</v>
          </cell>
          <cell r="Q93">
            <v>28534152.050000001</v>
          </cell>
          <cell r="R93">
            <v>480992.64</v>
          </cell>
          <cell r="S93">
            <v>167180.4</v>
          </cell>
          <cell r="T93">
            <v>106459083.97</v>
          </cell>
          <cell r="U93">
            <v>46973208</v>
          </cell>
          <cell r="V93">
            <v>59485875.969999999</v>
          </cell>
          <cell r="W93">
            <v>0</v>
          </cell>
          <cell r="X93">
            <v>59485875.969999999</v>
          </cell>
          <cell r="Y93">
            <v>58889415.840000004</v>
          </cell>
        </row>
        <row r="94">
          <cell r="E94" t="str">
            <v>11111</v>
          </cell>
          <cell r="F94" t="str">
            <v>รพ.นาหว้า</v>
          </cell>
          <cell r="G94">
            <v>1.25</v>
          </cell>
          <cell r="H94">
            <v>37939</v>
          </cell>
          <cell r="I94">
            <v>1316.8513706212605</v>
          </cell>
          <cell r="J94">
            <v>262.69339834998289</v>
          </cell>
          <cell r="K94">
            <v>1252.1901</v>
          </cell>
          <cell r="L94">
            <v>23.865400000000001</v>
          </cell>
          <cell r="M94">
            <v>0</v>
          </cell>
          <cell r="N94">
            <v>7042.3751705465802</v>
          </cell>
          <cell r="O94">
            <v>49960024.149999999</v>
          </cell>
          <cell r="P94">
            <v>9966324.8399999999</v>
          </cell>
          <cell r="Q94">
            <v>11022990.41</v>
          </cell>
          <cell r="R94">
            <v>229107.84</v>
          </cell>
          <cell r="S94">
            <v>0</v>
          </cell>
          <cell r="T94">
            <v>71178447.239999995</v>
          </cell>
          <cell r="U94">
            <v>29625274</v>
          </cell>
          <cell r="V94">
            <v>41553173.240000002</v>
          </cell>
          <cell r="W94">
            <v>0</v>
          </cell>
          <cell r="X94">
            <v>41553173.240000002</v>
          </cell>
          <cell r="Y94">
            <v>34706158.960000001</v>
          </cell>
        </row>
        <row r="95">
          <cell r="E95" t="str">
            <v>11112</v>
          </cell>
          <cell r="F95" t="str">
            <v>รพ.โพนสวรรค์</v>
          </cell>
          <cell r="G95">
            <v>1.2</v>
          </cell>
          <cell r="H95">
            <v>43480</v>
          </cell>
          <cell r="I95">
            <v>1272.7436775528979</v>
          </cell>
          <cell r="J95">
            <v>253.89453150873965</v>
          </cell>
          <cell r="K95">
            <v>1714.7805000000001</v>
          </cell>
          <cell r="L95">
            <v>23.7532</v>
          </cell>
          <cell r="M95">
            <v>0</v>
          </cell>
          <cell r="N95">
            <v>7042.3751705465802</v>
          </cell>
          <cell r="O95">
            <v>55338895.100000001</v>
          </cell>
          <cell r="P95">
            <v>11039334.23</v>
          </cell>
          <cell r="Q95">
            <v>14491353.140000001</v>
          </cell>
          <cell r="R95">
            <v>228030.72</v>
          </cell>
          <cell r="S95">
            <v>0</v>
          </cell>
          <cell r="T95">
            <v>81097613.189999998</v>
          </cell>
          <cell r="U95">
            <v>32164344</v>
          </cell>
          <cell r="V95">
            <v>48933269.189999998</v>
          </cell>
          <cell r="W95">
            <v>0</v>
          </cell>
          <cell r="X95">
            <v>48933269.189999998</v>
          </cell>
          <cell r="Y95">
            <v>43365508.409999996</v>
          </cell>
        </row>
        <row r="96">
          <cell r="E96" t="str">
            <v>11451</v>
          </cell>
          <cell r="F96" t="str">
            <v>รพร.ธาตุพนม</v>
          </cell>
          <cell r="G96">
            <v>1.1000000000000001</v>
          </cell>
          <cell r="H96">
            <v>61230</v>
          </cell>
          <cell r="I96">
            <v>1159.4778848603626</v>
          </cell>
          <cell r="J96">
            <v>231.29959300996245</v>
          </cell>
          <cell r="K96">
            <v>5172.192</v>
          </cell>
          <cell r="L96">
            <v>122.5997</v>
          </cell>
          <cell r="M96">
            <v>49.337800000000001</v>
          </cell>
          <cell r="N96">
            <v>7042.3751705465802</v>
          </cell>
          <cell r="O96">
            <v>70994830.890000001</v>
          </cell>
          <cell r="P96">
            <v>14162474.08</v>
          </cell>
          <cell r="Q96">
            <v>40066968.170000002</v>
          </cell>
          <cell r="R96">
            <v>1176957.1200000001</v>
          </cell>
          <cell r="S96">
            <v>444040.2</v>
          </cell>
          <cell r="T96">
            <v>126845270.45999999</v>
          </cell>
          <cell r="U96">
            <v>74630784</v>
          </cell>
          <cell r="V96">
            <v>52214486.460000001</v>
          </cell>
          <cell r="W96">
            <v>0</v>
          </cell>
          <cell r="X96">
            <v>52214486.460000001</v>
          </cell>
          <cell r="Y96">
            <v>51586167.869999997</v>
          </cell>
        </row>
        <row r="97">
          <cell r="E97" t="str">
            <v>40840</v>
          </cell>
          <cell r="F97" t="str">
            <v>รพ.วังยาง</v>
          </cell>
          <cell r="G97">
            <v>1.35</v>
          </cell>
          <cell r="H97">
            <v>11548</v>
          </cell>
          <cell r="I97">
            <v>1587.5618643921025</v>
          </cell>
          <cell r="J97">
            <v>316.69634915136822</v>
          </cell>
          <cell r="K97">
            <v>624.44299999999998</v>
          </cell>
          <cell r="L97">
            <v>7.3780999999999999</v>
          </cell>
          <cell r="M97">
            <v>0</v>
          </cell>
          <cell r="N97">
            <v>7042.3751705465802</v>
          </cell>
          <cell r="O97">
            <v>18333164.41</v>
          </cell>
          <cell r="P97">
            <v>3657209.44</v>
          </cell>
          <cell r="Q97">
            <v>5936708.8899999997</v>
          </cell>
          <cell r="R97">
            <v>70829.759999999995</v>
          </cell>
          <cell r="S97">
            <v>0</v>
          </cell>
          <cell r="T97">
            <v>27997912.5</v>
          </cell>
          <cell r="U97">
            <v>13693135</v>
          </cell>
          <cell r="V97">
            <v>14304777.5</v>
          </cell>
          <cell r="W97">
            <v>0</v>
          </cell>
          <cell r="X97">
            <v>14304777.5</v>
          </cell>
          <cell r="Y97">
            <v>13857553.119999999</v>
          </cell>
        </row>
        <row r="98">
          <cell r="E98"/>
          <cell r="F98"/>
          <cell r="G98"/>
          <cell r="H98">
            <v>534396</v>
          </cell>
          <cell r="I98"/>
          <cell r="J98"/>
          <cell r="K98">
            <v>45580.083400000003</v>
          </cell>
          <cell r="L98">
            <v>1057.6723</v>
          </cell>
          <cell r="M98">
            <v>781.97170000000006</v>
          </cell>
          <cell r="N98"/>
          <cell r="O98">
            <v>652468604.05999994</v>
          </cell>
          <cell r="P98">
            <v>130158344.97</v>
          </cell>
          <cell r="Q98">
            <v>365139160.90000004</v>
          </cell>
          <cell r="R98">
            <v>10153654.08</v>
          </cell>
          <cell r="S98">
            <v>7037745.3000000007</v>
          </cell>
          <cell r="T98">
            <v>1164957509.3100002</v>
          </cell>
          <cell r="U98">
            <v>602402191</v>
          </cell>
          <cell r="V98">
            <v>562555318.30999994</v>
          </cell>
          <cell r="W98">
            <v>247484.82</v>
          </cell>
          <cell r="X98">
            <v>562802803.13</v>
          </cell>
          <cell r="Y98">
            <v>519694337.82000005</v>
          </cell>
        </row>
      </sheetData>
      <sheetData sheetId="3">
        <row r="5">
          <cell r="C5">
            <v>4106342935.4699998</v>
          </cell>
        </row>
        <row r="10">
          <cell r="F10">
            <v>283621415</v>
          </cell>
        </row>
        <row r="11">
          <cell r="C11">
            <v>89502913.969999999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124C-BF52-45B7-86D5-784303FA9230}">
  <sheetPr>
    <tabColor rgb="FF92D050"/>
  </sheetPr>
  <dimension ref="A2:E16"/>
  <sheetViews>
    <sheetView workbookViewId="0">
      <selection activeCell="A2" sqref="A2:B16"/>
    </sheetView>
  </sheetViews>
  <sheetFormatPr defaultRowHeight="14.5"/>
  <cols>
    <col min="1" max="1" width="26.453125" bestFit="1" customWidth="1"/>
    <col min="2" max="3" width="14.7265625" bestFit="1" customWidth="1"/>
    <col min="4" max="4" width="14.6328125" bestFit="1" customWidth="1"/>
    <col min="5" max="5" width="14" customWidth="1"/>
  </cols>
  <sheetData>
    <row r="2" spans="1:5" ht="16" thickBot="1">
      <c r="A2" s="101" t="s">
        <v>292</v>
      </c>
      <c r="B2" s="102"/>
    </row>
    <row r="3" spans="1:5">
      <c r="A3" s="103" t="s">
        <v>2</v>
      </c>
      <c r="B3" s="104" t="s">
        <v>205</v>
      </c>
      <c r="C3" s="111" t="s">
        <v>206</v>
      </c>
      <c r="D3" s="115" t="s">
        <v>305</v>
      </c>
      <c r="E3" s="115" t="s">
        <v>306</v>
      </c>
    </row>
    <row r="4" spans="1:5">
      <c r="A4" s="105" t="s">
        <v>293</v>
      </c>
      <c r="B4" s="106">
        <v>254162119</v>
      </c>
      <c r="C4" s="112">
        <v>177776421</v>
      </c>
      <c r="D4" s="22">
        <f>B4-C4</f>
        <v>76385698</v>
      </c>
      <c r="E4" s="91">
        <f>D4/C4*100</f>
        <v>42.9672830459333</v>
      </c>
    </row>
    <row r="5" spans="1:5">
      <c r="A5" s="107" t="s">
        <v>294</v>
      </c>
      <c r="B5" s="108">
        <v>228750013</v>
      </c>
      <c r="C5" s="113">
        <v>228750013</v>
      </c>
      <c r="D5" s="22">
        <f t="shared" ref="D5:D16" si="0">B5-C5</f>
        <v>0</v>
      </c>
      <c r="E5" s="91">
        <f t="shared" ref="E5:E16" si="1">D5/C5*100</f>
        <v>0</v>
      </c>
    </row>
    <row r="6" spans="1:5">
      <c r="A6" s="105" t="s">
        <v>295</v>
      </c>
      <c r="B6" s="106">
        <v>145463793</v>
      </c>
      <c r="C6" s="112">
        <v>145463793</v>
      </c>
      <c r="D6" s="22">
        <f t="shared" si="0"/>
        <v>0</v>
      </c>
      <c r="E6" s="91">
        <f t="shared" si="1"/>
        <v>0</v>
      </c>
    </row>
    <row r="7" spans="1:5">
      <c r="A7" s="107" t="s">
        <v>296</v>
      </c>
      <c r="B7" s="108">
        <v>231644262</v>
      </c>
      <c r="C7" s="113">
        <v>231644262</v>
      </c>
      <c r="D7" s="22">
        <f t="shared" si="0"/>
        <v>0</v>
      </c>
      <c r="E7" s="91">
        <f t="shared" si="1"/>
        <v>0</v>
      </c>
    </row>
    <row r="8" spans="1:5">
      <c r="A8" s="105" t="s">
        <v>297</v>
      </c>
      <c r="B8" s="106">
        <v>341665401</v>
      </c>
      <c r="C8" s="112">
        <v>333845615</v>
      </c>
      <c r="D8" s="22">
        <f t="shared" si="0"/>
        <v>7819786</v>
      </c>
      <c r="E8" s="91">
        <f t="shared" si="1"/>
        <v>2.3423359926413889</v>
      </c>
    </row>
    <row r="9" spans="1:5">
      <c r="A9" s="107" t="s">
        <v>298</v>
      </c>
      <c r="B9" s="108">
        <v>394696138</v>
      </c>
      <c r="C9" s="113">
        <v>372991206</v>
      </c>
      <c r="D9" s="22">
        <f t="shared" si="0"/>
        <v>21704932</v>
      </c>
      <c r="E9" s="91">
        <f t="shared" si="1"/>
        <v>5.8191538167256418</v>
      </c>
    </row>
    <row r="10" spans="1:5">
      <c r="A10" s="105" t="s">
        <v>299</v>
      </c>
      <c r="B10" s="106">
        <v>283150466</v>
      </c>
      <c r="C10" s="112">
        <v>283150466</v>
      </c>
      <c r="D10" s="22">
        <f t="shared" si="0"/>
        <v>0</v>
      </c>
      <c r="E10" s="91">
        <f t="shared" si="1"/>
        <v>0</v>
      </c>
    </row>
    <row r="11" spans="1:5">
      <c r="A11" s="107" t="s">
        <v>6</v>
      </c>
      <c r="B11" s="108">
        <v>283621415</v>
      </c>
      <c r="C11" s="113">
        <v>252043191</v>
      </c>
      <c r="D11" s="22">
        <f t="shared" si="0"/>
        <v>31578224</v>
      </c>
      <c r="E11" s="91">
        <f t="shared" si="1"/>
        <v>12.528893906917723</v>
      </c>
    </row>
    <row r="12" spans="1:5">
      <c r="A12" s="105" t="s">
        <v>300</v>
      </c>
      <c r="B12" s="106">
        <v>342107788</v>
      </c>
      <c r="C12" s="112">
        <v>296578459</v>
      </c>
      <c r="D12" s="22">
        <f t="shared" si="0"/>
        <v>45529329</v>
      </c>
      <c r="E12" s="91">
        <f t="shared" si="1"/>
        <v>15.351529289590109</v>
      </c>
    </row>
    <row r="13" spans="1:5">
      <c r="A13" s="107" t="s">
        <v>301</v>
      </c>
      <c r="B13" s="108">
        <v>198636818</v>
      </c>
      <c r="C13" s="113">
        <v>181654787</v>
      </c>
      <c r="D13" s="22">
        <f t="shared" si="0"/>
        <v>16982031</v>
      </c>
      <c r="E13" s="91">
        <f t="shared" si="1"/>
        <v>9.348518296960707</v>
      </c>
    </row>
    <row r="14" spans="1:5">
      <c r="A14" s="105" t="s">
        <v>302</v>
      </c>
      <c r="B14" s="106">
        <v>232802990</v>
      </c>
      <c r="C14" s="112">
        <v>232802990</v>
      </c>
      <c r="D14" s="22">
        <f t="shared" si="0"/>
        <v>0</v>
      </c>
      <c r="E14" s="91">
        <f t="shared" si="1"/>
        <v>0</v>
      </c>
    </row>
    <row r="15" spans="1:5">
      <c r="A15" s="107" t="s">
        <v>303</v>
      </c>
      <c r="B15" s="108">
        <v>263298797</v>
      </c>
      <c r="C15" s="113">
        <v>263298797</v>
      </c>
      <c r="D15" s="22">
        <f t="shared" si="0"/>
        <v>0</v>
      </c>
      <c r="E15" s="91">
        <f t="shared" si="1"/>
        <v>0</v>
      </c>
    </row>
    <row r="16" spans="1:5" ht="15" thickBot="1">
      <c r="A16" s="109" t="s">
        <v>304</v>
      </c>
      <c r="B16" s="110">
        <f>SUM(B4:B15)</f>
        <v>3200000000</v>
      </c>
      <c r="C16" s="114">
        <f>SUM(C4:C15)</f>
        <v>3000000000</v>
      </c>
      <c r="D16" s="116">
        <f t="shared" si="0"/>
        <v>200000000</v>
      </c>
      <c r="E16" s="117">
        <f t="shared" si="1"/>
        <v>6.666666666666667</v>
      </c>
    </row>
  </sheetData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A3F4A-AFB2-43F5-92A6-88BF86E624AE}">
  <sheetPr>
    <tabColor rgb="FF92D050"/>
  </sheetPr>
  <dimension ref="A1:B9"/>
  <sheetViews>
    <sheetView workbookViewId="0">
      <selection sqref="A1:B9"/>
    </sheetView>
  </sheetViews>
  <sheetFormatPr defaultRowHeight="24"/>
  <cols>
    <col min="1" max="1" width="70.08984375" style="118" customWidth="1"/>
    <col min="2" max="2" width="21.26953125" style="118" customWidth="1"/>
    <col min="3" max="16384" width="8.7265625" style="118"/>
  </cols>
  <sheetData>
    <row r="1" spans="1:2">
      <c r="A1" s="119"/>
      <c r="B1" s="120" t="s">
        <v>307</v>
      </c>
    </row>
    <row r="2" spans="1:2">
      <c r="A2" s="127" t="s">
        <v>311</v>
      </c>
      <c r="B2" s="129">
        <v>283621415</v>
      </c>
    </row>
    <row r="3" spans="1:2">
      <c r="A3" s="134" t="s">
        <v>315</v>
      </c>
      <c r="B3" s="125">
        <f>B2/100*12</f>
        <v>34034569.799999997</v>
      </c>
    </row>
    <row r="4" spans="1:2">
      <c r="A4" s="135" t="s">
        <v>314</v>
      </c>
      <c r="B4" s="125">
        <f>B2/100*2</f>
        <v>5672428.2999999998</v>
      </c>
    </row>
    <row r="5" spans="1:2">
      <c r="A5" s="136" t="s">
        <v>312</v>
      </c>
      <c r="B5" s="125">
        <f>B3-B4</f>
        <v>28362141.499999996</v>
      </c>
    </row>
    <row r="6" spans="1:2">
      <c r="A6" s="127" t="s">
        <v>313</v>
      </c>
      <c r="B6" s="128">
        <f>B2-B3</f>
        <v>249586845.19999999</v>
      </c>
    </row>
    <row r="7" spans="1:2">
      <c r="A7" s="121" t="s">
        <v>321</v>
      </c>
      <c r="B7" s="122"/>
    </row>
    <row r="8" spans="1:2">
      <c r="A8" s="121" t="s">
        <v>322</v>
      </c>
      <c r="B8" s="122">
        <v>15372570.75</v>
      </c>
    </row>
    <row r="9" spans="1:2">
      <c r="A9" s="123" t="s">
        <v>316</v>
      </c>
      <c r="B9" s="124">
        <f>B6-B8</f>
        <v>234214274.44999999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82D1-A994-4FEC-B6BF-DE6567C920CD}">
  <sheetPr>
    <tabColor rgb="FFFF99FF"/>
  </sheetPr>
  <dimension ref="I2:L15"/>
  <sheetViews>
    <sheetView workbookViewId="0">
      <selection activeCell="N9" sqref="N9"/>
    </sheetView>
  </sheetViews>
  <sheetFormatPr defaultRowHeight="14.5"/>
  <cols>
    <col min="9" max="9" width="32" customWidth="1"/>
    <col min="11" max="11" width="20.1796875" customWidth="1"/>
    <col min="12" max="12" width="12.81640625" customWidth="1"/>
  </cols>
  <sheetData>
    <row r="2" spans="9:12">
      <c r="I2" s="161" t="s">
        <v>276</v>
      </c>
      <c r="J2" s="162" t="s">
        <v>290</v>
      </c>
      <c r="K2" s="97" t="s">
        <v>336</v>
      </c>
      <c r="L2" s="163" t="s">
        <v>335</v>
      </c>
    </row>
    <row r="3" spans="9:12">
      <c r="I3" s="161"/>
      <c r="J3" s="162"/>
      <c r="K3" s="98" t="s">
        <v>277</v>
      </c>
      <c r="L3" s="163"/>
    </row>
    <row r="4" spans="9:12">
      <c r="I4" s="161"/>
      <c r="J4" s="162"/>
      <c r="K4" s="99" t="s">
        <v>278</v>
      </c>
      <c r="L4" s="163"/>
    </row>
    <row r="5" spans="9:12">
      <c r="I5" s="13" t="s">
        <v>279</v>
      </c>
      <c r="J5" s="91">
        <v>1.4</v>
      </c>
      <c r="K5" s="13">
        <v>2.37</v>
      </c>
      <c r="L5" s="13"/>
    </row>
    <row r="6" spans="9:12">
      <c r="I6" s="13" t="s">
        <v>280</v>
      </c>
      <c r="J6" s="91">
        <v>1.35</v>
      </c>
      <c r="K6" s="13">
        <v>2.13</v>
      </c>
      <c r="L6" s="13"/>
    </row>
    <row r="7" spans="9:12">
      <c r="I7" s="13" t="s">
        <v>281</v>
      </c>
      <c r="J7" s="91">
        <v>1.3</v>
      </c>
      <c r="K7" s="13">
        <v>1.98</v>
      </c>
      <c r="L7" s="13"/>
    </row>
    <row r="8" spans="9:12">
      <c r="I8" s="13" t="s">
        <v>282</v>
      </c>
      <c r="J8" s="91">
        <v>1.25</v>
      </c>
      <c r="K8" s="13">
        <v>1.86</v>
      </c>
      <c r="L8" s="13"/>
    </row>
    <row r="9" spans="9:12">
      <c r="I9" s="13" t="s">
        <v>283</v>
      </c>
      <c r="J9" s="130">
        <v>1.2</v>
      </c>
      <c r="K9" s="92">
        <v>1.91</v>
      </c>
      <c r="L9" s="13"/>
    </row>
    <row r="10" spans="9:12">
      <c r="I10" s="93" t="s">
        <v>284</v>
      </c>
      <c r="J10" s="94">
        <v>1.1499999999999999</v>
      </c>
      <c r="K10" s="95">
        <v>1.93</v>
      </c>
      <c r="L10" s="133">
        <v>1.2</v>
      </c>
    </row>
    <row r="11" spans="9:12">
      <c r="I11" s="93" t="s">
        <v>285</v>
      </c>
      <c r="J11" s="94">
        <v>1.1499999999999999</v>
      </c>
      <c r="K11" s="95">
        <v>1.76</v>
      </c>
      <c r="L11" s="132">
        <v>1.2</v>
      </c>
    </row>
    <row r="12" spans="9:12">
      <c r="I12" s="93" t="s">
        <v>286</v>
      </c>
      <c r="J12" s="96">
        <v>1.1000000000000001</v>
      </c>
      <c r="K12" s="13">
        <v>1.65</v>
      </c>
      <c r="L12" s="131">
        <v>1.1499999999999999</v>
      </c>
    </row>
    <row r="13" spans="9:12">
      <c r="I13" s="13" t="s">
        <v>287</v>
      </c>
      <c r="J13" s="94">
        <v>1.1499999999999999</v>
      </c>
      <c r="K13" s="95">
        <v>1.74</v>
      </c>
      <c r="L13" s="13"/>
    </row>
    <row r="14" spans="9:12">
      <c r="I14" s="13" t="s">
        <v>288</v>
      </c>
      <c r="J14" s="96">
        <v>1.1000000000000001</v>
      </c>
      <c r="K14" s="13">
        <v>1.21</v>
      </c>
      <c r="L14" s="13"/>
    </row>
    <row r="15" spans="9:12">
      <c r="I15" s="13" t="s">
        <v>289</v>
      </c>
      <c r="J15" s="91">
        <v>1.05</v>
      </c>
      <c r="K15" s="13">
        <v>1</v>
      </c>
      <c r="L15" s="13"/>
    </row>
  </sheetData>
  <mergeCells count="3">
    <mergeCell ref="I2:I4"/>
    <mergeCell ref="J2:J4"/>
    <mergeCell ref="L2:L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B57F-DEA5-470D-8C81-5B24C76D16E8}">
  <sheetPr>
    <tabColor rgb="FF00B050"/>
  </sheetPr>
  <dimension ref="A1:R25"/>
  <sheetViews>
    <sheetView tabSelected="1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F6" sqref="F6"/>
    </sheetView>
  </sheetViews>
  <sheetFormatPr defaultRowHeight="14.5"/>
  <cols>
    <col min="1" max="1" width="5.6328125" style="137" bestFit="1" customWidth="1"/>
    <col min="2" max="2" width="20.1796875" bestFit="1" customWidth="1"/>
    <col min="3" max="3" width="9.54296875" bestFit="1" customWidth="1"/>
    <col min="4" max="4" width="9.54296875" style="157" customWidth="1"/>
    <col min="5" max="5" width="8.6328125" bestFit="1" customWidth="1"/>
    <col min="6" max="6" width="8.36328125" bestFit="1" customWidth="1"/>
    <col min="7" max="7" width="13.54296875" customWidth="1"/>
    <col min="8" max="8" width="14.7265625" bestFit="1" customWidth="1"/>
    <col min="9" max="9" width="14.08984375" bestFit="1" customWidth="1"/>
    <col min="10" max="10" width="14.453125" customWidth="1"/>
    <col min="11" max="11" width="6.6328125" bestFit="1" customWidth="1"/>
    <col min="12" max="13" width="7.1796875" bestFit="1" customWidth="1"/>
    <col min="14" max="14" width="10.08984375" customWidth="1"/>
    <col min="15" max="15" width="7.453125" bestFit="1" customWidth="1"/>
    <col min="16" max="16" width="18" customWidth="1"/>
    <col min="17" max="17" width="12.54296875" bestFit="1" customWidth="1"/>
    <col min="18" max="18" width="13.6328125" hidden="1" customWidth="1"/>
  </cols>
  <sheetData>
    <row r="1" spans="1:18">
      <c r="A1" s="197" t="s">
        <v>338</v>
      </c>
    </row>
    <row r="2" spans="1:18" s="137" customFormat="1">
      <c r="C2" s="137" t="s">
        <v>0</v>
      </c>
      <c r="D2" s="155" t="s">
        <v>207</v>
      </c>
      <c r="E2" s="137" t="s">
        <v>208</v>
      </c>
      <c r="F2" s="137" t="s">
        <v>209</v>
      </c>
      <c r="G2" s="137" t="s">
        <v>211</v>
      </c>
      <c r="H2" s="137" t="s">
        <v>213</v>
      </c>
      <c r="I2" s="137" t="s">
        <v>215</v>
      </c>
      <c r="J2" s="137" t="s">
        <v>333</v>
      </c>
      <c r="K2" s="137" t="s">
        <v>325</v>
      </c>
      <c r="L2" s="137" t="s">
        <v>326</v>
      </c>
      <c r="M2" s="137" t="s">
        <v>327</v>
      </c>
      <c r="N2" s="137" t="s">
        <v>328</v>
      </c>
      <c r="O2" s="137" t="s">
        <v>331</v>
      </c>
      <c r="P2" s="137" t="s">
        <v>225</v>
      </c>
      <c r="Q2" s="137" t="s">
        <v>334</v>
      </c>
    </row>
    <row r="3" spans="1:18" ht="14.5" customHeight="1">
      <c r="A3" s="165" t="s">
        <v>1</v>
      </c>
      <c r="B3" s="169" t="s">
        <v>254</v>
      </c>
      <c r="C3" s="171" t="s">
        <v>275</v>
      </c>
      <c r="D3" s="175" t="s">
        <v>332</v>
      </c>
      <c r="E3" s="172" t="s">
        <v>242</v>
      </c>
      <c r="F3" s="172"/>
      <c r="G3" s="173"/>
      <c r="H3" s="143" t="s">
        <v>291</v>
      </c>
      <c r="I3" s="144" t="s">
        <v>317</v>
      </c>
      <c r="J3" s="166" t="s">
        <v>318</v>
      </c>
      <c r="K3" s="174" t="s">
        <v>319</v>
      </c>
      <c r="L3" s="174"/>
      <c r="M3" s="174"/>
      <c r="N3" s="174"/>
      <c r="O3" s="174"/>
      <c r="P3" s="168" t="s">
        <v>323</v>
      </c>
      <c r="Q3" s="164" t="s">
        <v>320</v>
      </c>
      <c r="R3" s="164" t="s">
        <v>337</v>
      </c>
    </row>
    <row r="4" spans="1:18" s="153" customFormat="1" ht="58">
      <c r="A4" s="165"/>
      <c r="B4" s="170"/>
      <c r="C4" s="171"/>
      <c r="D4" s="175"/>
      <c r="E4" s="146" t="s">
        <v>255</v>
      </c>
      <c r="F4" s="147" t="s">
        <v>256</v>
      </c>
      <c r="G4" s="148" t="s">
        <v>324</v>
      </c>
      <c r="H4" s="149" t="s">
        <v>222</v>
      </c>
      <c r="I4" s="150" t="s">
        <v>222</v>
      </c>
      <c r="J4" s="167"/>
      <c r="K4" s="151" t="s">
        <v>310</v>
      </c>
      <c r="L4" s="152" t="s">
        <v>308</v>
      </c>
      <c r="M4" s="152" t="s">
        <v>309</v>
      </c>
      <c r="N4" s="152" t="s">
        <v>329</v>
      </c>
      <c r="O4" s="154" t="s">
        <v>330</v>
      </c>
      <c r="P4" s="168"/>
      <c r="Q4" s="164"/>
      <c r="R4" s="164"/>
    </row>
    <row r="5" spans="1:18">
      <c r="A5" s="126">
        <v>1</v>
      </c>
      <c r="B5" s="3" t="s">
        <v>14</v>
      </c>
      <c r="C5" s="3">
        <v>74</v>
      </c>
      <c r="D5" s="156">
        <v>48560</v>
      </c>
      <c r="E5" s="63">
        <v>1.1499999999999999</v>
      </c>
      <c r="F5" s="100">
        <v>1.2</v>
      </c>
      <c r="G5" s="65">
        <v>1.2</v>
      </c>
      <c r="H5" s="18">
        <v>19155083</v>
      </c>
      <c r="I5" s="70">
        <v>19847110.539999999</v>
      </c>
      <c r="J5" s="138">
        <v>692027.53999999911</v>
      </c>
      <c r="K5" s="139">
        <v>1</v>
      </c>
      <c r="L5" s="13">
        <v>1</v>
      </c>
      <c r="M5" s="13">
        <v>1</v>
      </c>
      <c r="N5" s="13">
        <v>0</v>
      </c>
      <c r="O5" s="91">
        <f>AVERAGE(K5:N5)</f>
        <v>0.75</v>
      </c>
      <c r="P5" s="145">
        <f>J5*0.6</f>
        <v>415216.52399999945</v>
      </c>
      <c r="Q5" s="159">
        <f>P5*0.8</f>
        <v>332173.21919999958</v>
      </c>
      <c r="R5" s="22">
        <f>ROUND(Q5,2)</f>
        <v>332173.21999999997</v>
      </c>
    </row>
    <row r="6" spans="1:18">
      <c r="A6" s="126">
        <v>2</v>
      </c>
      <c r="B6" s="3" t="s">
        <v>16</v>
      </c>
      <c r="C6" s="3">
        <v>123</v>
      </c>
      <c r="D6" s="156">
        <v>53836</v>
      </c>
      <c r="E6" s="63">
        <v>1.1499999999999999</v>
      </c>
      <c r="F6" s="100">
        <v>1.2</v>
      </c>
      <c r="G6" s="65">
        <v>1.2</v>
      </c>
      <c r="H6" s="18">
        <v>42023875.210000001</v>
      </c>
      <c r="I6" s="70">
        <v>43542097.579999998</v>
      </c>
      <c r="J6" s="138">
        <v>1518222.3699999973</v>
      </c>
      <c r="K6" s="139">
        <v>1</v>
      </c>
      <c r="L6" s="13">
        <v>1</v>
      </c>
      <c r="M6" s="13">
        <v>1</v>
      </c>
      <c r="N6" s="13">
        <v>0</v>
      </c>
      <c r="O6" s="91">
        <f t="shared" ref="O6:O24" si="0">AVERAGE(K6:N6)</f>
        <v>0.75</v>
      </c>
      <c r="P6" s="145">
        <f>J6*0.6</f>
        <v>910933.42199999839</v>
      </c>
      <c r="Q6" s="159">
        <f t="shared" ref="Q6:Q24" si="1">P6*0.8</f>
        <v>728746.73759999871</v>
      </c>
      <c r="R6" s="22">
        <f t="shared" ref="R6:R24" si="2">ROUND(Q6,2)</f>
        <v>728746.74</v>
      </c>
    </row>
    <row r="7" spans="1:18">
      <c r="A7" s="126">
        <v>3</v>
      </c>
      <c r="B7" s="3" t="s">
        <v>31</v>
      </c>
      <c r="C7" s="3">
        <v>78</v>
      </c>
      <c r="D7" s="156">
        <v>69726</v>
      </c>
      <c r="E7" s="63">
        <v>1.1000000000000001</v>
      </c>
      <c r="F7" s="100">
        <v>1.1499999999999999</v>
      </c>
      <c r="G7" s="65">
        <v>1.1499999999999999</v>
      </c>
      <c r="H7" s="18">
        <v>25704430.640000001</v>
      </c>
      <c r="I7" s="70">
        <v>26683512.039999999</v>
      </c>
      <c r="J7" s="138">
        <v>979081.39999999851</v>
      </c>
      <c r="K7" s="139">
        <v>4</v>
      </c>
      <c r="L7" s="13">
        <v>3</v>
      </c>
      <c r="M7" s="13">
        <v>4</v>
      </c>
      <c r="N7" s="13">
        <v>2</v>
      </c>
      <c r="O7" s="91">
        <f t="shared" si="0"/>
        <v>3.25</v>
      </c>
      <c r="P7" s="145">
        <f>0.8*J7</f>
        <v>783265.11999999883</v>
      </c>
      <c r="Q7" s="159">
        <f t="shared" si="1"/>
        <v>626612.09599999909</v>
      </c>
      <c r="R7" s="22">
        <f t="shared" si="2"/>
        <v>626612.1</v>
      </c>
    </row>
    <row r="8" spans="1:18">
      <c r="A8" s="126">
        <v>4</v>
      </c>
      <c r="B8" s="3" t="s">
        <v>35</v>
      </c>
      <c r="C8" s="3">
        <v>90</v>
      </c>
      <c r="D8" s="156">
        <v>82587</v>
      </c>
      <c r="E8" s="63">
        <v>1.1000000000000001</v>
      </c>
      <c r="F8" s="100">
        <v>1.1499999999999999</v>
      </c>
      <c r="G8" s="65">
        <v>1.1499999999999999</v>
      </c>
      <c r="H8" s="18">
        <v>37169556.149999999</v>
      </c>
      <c r="I8" s="70">
        <v>38585343.200000003</v>
      </c>
      <c r="J8" s="138">
        <v>1415787.0500000045</v>
      </c>
      <c r="K8" s="139">
        <v>6</v>
      </c>
      <c r="L8" s="13">
        <v>6</v>
      </c>
      <c r="M8" s="13">
        <v>3</v>
      </c>
      <c r="N8" s="13">
        <v>2</v>
      </c>
      <c r="O8" s="91">
        <f t="shared" si="0"/>
        <v>4.25</v>
      </c>
      <c r="P8" s="145">
        <f>J8</f>
        <v>1415787.0500000045</v>
      </c>
      <c r="Q8" s="159">
        <f t="shared" si="1"/>
        <v>1132629.6400000036</v>
      </c>
      <c r="R8" s="22">
        <f t="shared" si="2"/>
        <v>1132629.6399999999</v>
      </c>
    </row>
    <row r="9" spans="1:18">
      <c r="A9" s="126">
        <v>5</v>
      </c>
      <c r="B9" s="3" t="s">
        <v>37</v>
      </c>
      <c r="C9" s="3">
        <v>40</v>
      </c>
      <c r="D9" s="156">
        <v>53672</v>
      </c>
      <c r="E9" s="63">
        <v>1.1499999999999999</v>
      </c>
      <c r="F9" s="100">
        <v>1.2</v>
      </c>
      <c r="G9" s="65">
        <v>1.2</v>
      </c>
      <c r="H9" s="18">
        <v>18891210.829999998</v>
      </c>
      <c r="I9" s="70">
        <v>19573705.27</v>
      </c>
      <c r="J9" s="138">
        <v>682494.44000000134</v>
      </c>
      <c r="K9" s="139">
        <v>4</v>
      </c>
      <c r="L9" s="13">
        <v>3</v>
      </c>
      <c r="M9" s="13">
        <v>3</v>
      </c>
      <c r="N9" s="13">
        <v>1</v>
      </c>
      <c r="O9" s="91">
        <f t="shared" si="0"/>
        <v>2.75</v>
      </c>
      <c r="P9" s="145">
        <f>0.8*J9</f>
        <v>545995.55200000107</v>
      </c>
      <c r="Q9" s="159">
        <f t="shared" si="1"/>
        <v>436796.44160000089</v>
      </c>
      <c r="R9" s="22">
        <f t="shared" si="2"/>
        <v>436796.44</v>
      </c>
    </row>
    <row r="10" spans="1:18">
      <c r="A10" s="126">
        <v>6</v>
      </c>
      <c r="B10" s="3" t="s">
        <v>46</v>
      </c>
      <c r="C10" s="3">
        <v>52</v>
      </c>
      <c r="D10" s="156">
        <v>51752</v>
      </c>
      <c r="E10" s="63">
        <v>1.1499999999999999</v>
      </c>
      <c r="F10" s="100">
        <v>1.2</v>
      </c>
      <c r="G10" s="65">
        <v>1.2</v>
      </c>
      <c r="H10" s="18">
        <v>20985272.359999999</v>
      </c>
      <c r="I10" s="70">
        <v>21743420.02</v>
      </c>
      <c r="J10" s="138">
        <v>758147.66000000015</v>
      </c>
      <c r="K10" s="139">
        <v>1</v>
      </c>
      <c r="L10" s="13">
        <v>3</v>
      </c>
      <c r="M10" s="13">
        <v>3</v>
      </c>
      <c r="N10" s="13">
        <v>2</v>
      </c>
      <c r="O10" s="91">
        <f t="shared" si="0"/>
        <v>2.25</v>
      </c>
      <c r="P10" s="145">
        <f>0.8*J10</f>
        <v>606518.12800000014</v>
      </c>
      <c r="Q10" s="159">
        <f t="shared" si="1"/>
        <v>485214.50240000011</v>
      </c>
      <c r="R10" s="22">
        <f t="shared" si="2"/>
        <v>485214.5</v>
      </c>
    </row>
    <row r="11" spans="1:18">
      <c r="A11" s="126">
        <v>7</v>
      </c>
      <c r="B11" s="3" t="s">
        <v>56</v>
      </c>
      <c r="C11" s="3">
        <v>124</v>
      </c>
      <c r="D11" s="156">
        <v>91710</v>
      </c>
      <c r="E11" s="63">
        <v>1.1000000000000001</v>
      </c>
      <c r="F11" s="100">
        <v>1.1499999999999999</v>
      </c>
      <c r="G11" s="65">
        <v>1.1499999999999999</v>
      </c>
      <c r="H11" s="18">
        <v>48347852.060000002</v>
      </c>
      <c r="I11" s="70">
        <v>50189420.979999997</v>
      </c>
      <c r="J11" s="138">
        <v>1841568.9199999943</v>
      </c>
      <c r="K11" s="139">
        <v>6</v>
      </c>
      <c r="L11" s="13">
        <v>6</v>
      </c>
      <c r="M11" s="13">
        <v>6</v>
      </c>
      <c r="N11" s="13">
        <v>2</v>
      </c>
      <c r="O11" s="91">
        <f t="shared" si="0"/>
        <v>5</v>
      </c>
      <c r="P11" s="145">
        <v>1841568.9199999943</v>
      </c>
      <c r="Q11" s="159">
        <f t="shared" si="1"/>
        <v>1473255.1359999955</v>
      </c>
      <c r="R11" s="22">
        <f t="shared" si="2"/>
        <v>1473255.14</v>
      </c>
    </row>
    <row r="12" spans="1:18">
      <c r="A12" s="126">
        <v>8</v>
      </c>
      <c r="B12" s="3" t="s">
        <v>66</v>
      </c>
      <c r="C12" s="3">
        <v>120</v>
      </c>
      <c r="D12" s="156">
        <v>87077</v>
      </c>
      <c r="E12" s="63">
        <v>1.1000000000000001</v>
      </c>
      <c r="F12" s="100">
        <v>1.1499999999999999</v>
      </c>
      <c r="G12" s="65">
        <v>1.1499999999999999</v>
      </c>
      <c r="H12" s="18">
        <v>48422411.090000004</v>
      </c>
      <c r="I12" s="70">
        <v>50266819.719999999</v>
      </c>
      <c r="J12" s="138">
        <v>1844408.6299999952</v>
      </c>
      <c r="K12" s="139">
        <v>0</v>
      </c>
      <c r="L12" s="13">
        <v>2</v>
      </c>
      <c r="M12" s="13">
        <v>2</v>
      </c>
      <c r="N12" s="13">
        <v>2</v>
      </c>
      <c r="O12" s="91">
        <f t="shared" si="0"/>
        <v>1.5</v>
      </c>
      <c r="P12" s="145">
        <f>0.6*J12</f>
        <v>1106645.177999997</v>
      </c>
      <c r="Q12" s="159">
        <f t="shared" si="1"/>
        <v>885316.14239999768</v>
      </c>
      <c r="R12" s="22">
        <f t="shared" si="2"/>
        <v>885316.14</v>
      </c>
    </row>
    <row r="13" spans="1:18">
      <c r="A13" s="126">
        <v>9</v>
      </c>
      <c r="B13" s="3" t="s">
        <v>68</v>
      </c>
      <c r="C13" s="3">
        <v>88</v>
      </c>
      <c r="D13" s="156">
        <v>46833</v>
      </c>
      <c r="E13" s="63">
        <v>1.1499999999999999</v>
      </c>
      <c r="F13" s="100">
        <v>1.2</v>
      </c>
      <c r="G13" s="65">
        <v>1.2</v>
      </c>
      <c r="H13" s="18">
        <v>23556044.23</v>
      </c>
      <c r="I13" s="70">
        <v>24407067.399999999</v>
      </c>
      <c r="J13" s="138">
        <v>851023.16999999806</v>
      </c>
      <c r="K13" s="139">
        <v>0</v>
      </c>
      <c r="L13" s="13">
        <v>1</v>
      </c>
      <c r="M13" s="13">
        <v>0</v>
      </c>
      <c r="N13" s="13">
        <v>0</v>
      </c>
      <c r="O13" s="91">
        <f t="shared" si="0"/>
        <v>0.25</v>
      </c>
      <c r="P13" s="145">
        <f>0.6*J13</f>
        <v>510613.90199999884</v>
      </c>
      <c r="Q13" s="159">
        <f t="shared" si="1"/>
        <v>408491.12159999908</v>
      </c>
      <c r="R13" s="22">
        <f t="shared" si="2"/>
        <v>408491.12</v>
      </c>
    </row>
    <row r="14" spans="1:18">
      <c r="A14" s="126">
        <v>10</v>
      </c>
      <c r="B14" s="3" t="s">
        <v>70</v>
      </c>
      <c r="C14" s="3">
        <v>118</v>
      </c>
      <c r="D14" s="156">
        <v>88644</v>
      </c>
      <c r="E14" s="63">
        <v>1.1000000000000001</v>
      </c>
      <c r="F14" s="100">
        <v>1.1499999999999999</v>
      </c>
      <c r="G14" s="65">
        <v>1.1499999999999999</v>
      </c>
      <c r="H14" s="18">
        <v>39510143.759999998</v>
      </c>
      <c r="I14" s="70">
        <v>41015083.960000001</v>
      </c>
      <c r="J14" s="138">
        <v>1504940.200000003</v>
      </c>
      <c r="K14" s="139">
        <v>0</v>
      </c>
      <c r="L14" s="13">
        <v>0</v>
      </c>
      <c r="M14" s="13">
        <v>0</v>
      </c>
      <c r="N14" s="13">
        <v>0</v>
      </c>
      <c r="O14" s="91">
        <f t="shared" si="0"/>
        <v>0</v>
      </c>
      <c r="P14" s="145">
        <f>0.6*J14</f>
        <v>902964.12000000174</v>
      </c>
      <c r="Q14" s="159">
        <f t="shared" si="1"/>
        <v>722371.29600000149</v>
      </c>
      <c r="R14" s="22">
        <f t="shared" si="2"/>
        <v>722371.3</v>
      </c>
    </row>
    <row r="15" spans="1:18">
      <c r="A15" s="126">
        <v>11</v>
      </c>
      <c r="B15" s="3" t="s">
        <v>80</v>
      </c>
      <c r="C15" s="3">
        <v>139</v>
      </c>
      <c r="D15" s="156">
        <v>98564</v>
      </c>
      <c r="E15" s="63">
        <v>1.1000000000000001</v>
      </c>
      <c r="F15" s="100">
        <v>1.1499999999999999</v>
      </c>
      <c r="G15" s="65">
        <v>1.1499999999999999</v>
      </c>
      <c r="H15" s="18">
        <v>53024687.780000001</v>
      </c>
      <c r="I15" s="70">
        <v>55044396.359999999</v>
      </c>
      <c r="J15" s="138">
        <v>2019708.5799999982</v>
      </c>
      <c r="K15" s="139">
        <v>5</v>
      </c>
      <c r="L15" s="13">
        <v>4</v>
      </c>
      <c r="M15" s="13">
        <v>3</v>
      </c>
      <c r="N15" s="13">
        <v>1</v>
      </c>
      <c r="O15" s="91">
        <f t="shared" si="0"/>
        <v>3.25</v>
      </c>
      <c r="P15" s="145">
        <f>0.8*J15</f>
        <v>1615766.8639999987</v>
      </c>
      <c r="Q15" s="159">
        <f t="shared" si="1"/>
        <v>1292613.4911999991</v>
      </c>
      <c r="R15" s="22">
        <f t="shared" si="2"/>
        <v>1292613.49</v>
      </c>
    </row>
    <row r="16" spans="1:18">
      <c r="A16" s="126">
        <v>12</v>
      </c>
      <c r="B16" s="3" t="s">
        <v>103</v>
      </c>
      <c r="C16" s="3">
        <v>113</v>
      </c>
      <c r="D16" s="156">
        <v>86991</v>
      </c>
      <c r="E16" s="63">
        <v>1.1000000000000001</v>
      </c>
      <c r="F16" s="100">
        <v>1.1499999999999999</v>
      </c>
      <c r="G16" s="65">
        <v>1.1499999999999999</v>
      </c>
      <c r="H16" s="18">
        <v>42489157.899999999</v>
      </c>
      <c r="I16" s="70">
        <v>44107569.009999998</v>
      </c>
      <c r="J16" s="138">
        <v>1618411.1099999994</v>
      </c>
      <c r="K16" s="139">
        <v>1</v>
      </c>
      <c r="L16" s="13">
        <v>5</v>
      </c>
      <c r="M16" s="13">
        <v>7</v>
      </c>
      <c r="N16" s="13">
        <v>3</v>
      </c>
      <c r="O16" s="91">
        <f t="shared" si="0"/>
        <v>4</v>
      </c>
      <c r="P16" s="145">
        <f>0.8*J16</f>
        <v>1294728.8879999996</v>
      </c>
      <c r="Q16" s="159">
        <f t="shared" si="1"/>
        <v>1035783.1103999997</v>
      </c>
      <c r="R16" s="22">
        <f t="shared" si="2"/>
        <v>1035783.11</v>
      </c>
    </row>
    <row r="17" spans="1:18">
      <c r="A17" s="126">
        <v>13</v>
      </c>
      <c r="B17" s="3" t="s">
        <v>122</v>
      </c>
      <c r="C17" s="3">
        <v>113</v>
      </c>
      <c r="D17" s="156">
        <v>58808</v>
      </c>
      <c r="E17" s="63">
        <v>1.1499999999999999</v>
      </c>
      <c r="F17" s="100">
        <v>1.2</v>
      </c>
      <c r="G17" s="65">
        <v>1.2</v>
      </c>
      <c r="H17" s="18">
        <v>33679038.109999999</v>
      </c>
      <c r="I17" s="70">
        <v>34895780.82</v>
      </c>
      <c r="J17" s="138">
        <v>1216742.7100000009</v>
      </c>
      <c r="K17" s="139">
        <v>0</v>
      </c>
      <c r="L17" s="13">
        <v>2</v>
      </c>
      <c r="M17" s="13">
        <v>2</v>
      </c>
      <c r="N17" s="13">
        <v>1</v>
      </c>
      <c r="O17" s="91">
        <f t="shared" si="0"/>
        <v>1.25</v>
      </c>
      <c r="P17" s="145">
        <f>0.6*J17</f>
        <v>730045.62600000051</v>
      </c>
      <c r="Q17" s="159">
        <f t="shared" si="1"/>
        <v>584036.50080000039</v>
      </c>
      <c r="R17" s="22">
        <f t="shared" si="2"/>
        <v>584036.5</v>
      </c>
    </row>
    <row r="18" spans="1:18">
      <c r="A18" s="126">
        <v>14</v>
      </c>
      <c r="B18" s="3" t="s">
        <v>147</v>
      </c>
      <c r="C18" s="3">
        <v>90</v>
      </c>
      <c r="D18" s="156">
        <v>55513</v>
      </c>
      <c r="E18" s="63">
        <v>1.1499999999999999</v>
      </c>
      <c r="F18" s="100">
        <v>1.2</v>
      </c>
      <c r="G18" s="65">
        <v>1.2</v>
      </c>
      <c r="H18" s="18">
        <v>28085637.969999999</v>
      </c>
      <c r="I18" s="70">
        <v>29100304.989999998</v>
      </c>
      <c r="J18" s="138">
        <v>1014667.0199999996</v>
      </c>
      <c r="K18" s="139">
        <v>3</v>
      </c>
      <c r="L18" s="13">
        <v>4</v>
      </c>
      <c r="M18" s="13">
        <v>3</v>
      </c>
      <c r="N18" s="13">
        <v>1</v>
      </c>
      <c r="O18" s="91">
        <f t="shared" si="0"/>
        <v>2.75</v>
      </c>
      <c r="P18" s="145">
        <f>0.8*J18</f>
        <v>811733.61599999969</v>
      </c>
      <c r="Q18" s="159">
        <f t="shared" si="1"/>
        <v>649386.8927999998</v>
      </c>
      <c r="R18" s="22">
        <f t="shared" si="2"/>
        <v>649386.89</v>
      </c>
    </row>
    <row r="19" spans="1:18">
      <c r="A19" s="126">
        <v>15</v>
      </c>
      <c r="B19" s="3" t="s">
        <v>149</v>
      </c>
      <c r="C19" s="3">
        <v>114</v>
      </c>
      <c r="D19" s="156">
        <v>39521</v>
      </c>
      <c r="E19" s="63">
        <v>1.1499999999999999</v>
      </c>
      <c r="F19" s="100">
        <v>1.2</v>
      </c>
      <c r="G19" s="65">
        <v>1.2</v>
      </c>
      <c r="H19" s="18">
        <v>32368658.43</v>
      </c>
      <c r="I19" s="70">
        <v>33538060.469999999</v>
      </c>
      <c r="J19" s="138">
        <v>1169402.0399999991</v>
      </c>
      <c r="K19" s="139">
        <v>6</v>
      </c>
      <c r="L19" s="13">
        <v>6</v>
      </c>
      <c r="M19" s="13">
        <v>7</v>
      </c>
      <c r="N19" s="13">
        <v>2</v>
      </c>
      <c r="O19" s="91">
        <f t="shared" si="0"/>
        <v>5.25</v>
      </c>
      <c r="P19" s="145">
        <v>1169402.0399999991</v>
      </c>
      <c r="Q19" s="159">
        <f t="shared" si="1"/>
        <v>935521.63199999928</v>
      </c>
      <c r="R19" s="22">
        <f t="shared" si="2"/>
        <v>935521.63</v>
      </c>
    </row>
    <row r="20" spans="1:18">
      <c r="A20" s="126">
        <v>16</v>
      </c>
      <c r="B20" s="3" t="s">
        <v>159</v>
      </c>
      <c r="C20" s="3">
        <v>78</v>
      </c>
      <c r="D20" s="156">
        <v>53059</v>
      </c>
      <c r="E20" s="63">
        <v>1.1499999999999999</v>
      </c>
      <c r="F20" s="100">
        <v>1.2</v>
      </c>
      <c r="G20" s="65">
        <v>1.2</v>
      </c>
      <c r="H20" s="18">
        <v>24121754.710000001</v>
      </c>
      <c r="I20" s="70">
        <v>24993216.440000001</v>
      </c>
      <c r="J20" s="138">
        <v>871461.73000000045</v>
      </c>
      <c r="K20" s="139">
        <v>6</v>
      </c>
      <c r="L20" s="13">
        <v>6</v>
      </c>
      <c r="M20" s="13">
        <v>4</v>
      </c>
      <c r="N20" s="13">
        <v>1</v>
      </c>
      <c r="O20" s="91">
        <f t="shared" si="0"/>
        <v>4.25</v>
      </c>
      <c r="P20" s="145">
        <f>J20</f>
        <v>871461.73000000045</v>
      </c>
      <c r="Q20" s="159">
        <f t="shared" si="1"/>
        <v>697169.38400000043</v>
      </c>
      <c r="R20" s="22">
        <f t="shared" si="2"/>
        <v>697169.38</v>
      </c>
    </row>
    <row r="21" spans="1:18">
      <c r="A21" s="126">
        <v>17</v>
      </c>
      <c r="B21" s="3" t="s">
        <v>161</v>
      </c>
      <c r="C21" s="3">
        <v>130</v>
      </c>
      <c r="D21" s="156">
        <v>53459</v>
      </c>
      <c r="E21" s="63">
        <v>1.1499999999999999</v>
      </c>
      <c r="F21" s="100">
        <v>1.2</v>
      </c>
      <c r="G21" s="65">
        <v>1.2</v>
      </c>
      <c r="H21" s="18">
        <v>33434100.780000001</v>
      </c>
      <c r="I21" s="70">
        <v>34641995.159999996</v>
      </c>
      <c r="J21" s="138">
        <v>1207894.3799999952</v>
      </c>
      <c r="K21" s="139">
        <v>6</v>
      </c>
      <c r="L21" s="13">
        <v>6</v>
      </c>
      <c r="M21" s="13">
        <v>6</v>
      </c>
      <c r="N21" s="13">
        <v>1</v>
      </c>
      <c r="O21" s="91">
        <f t="shared" si="0"/>
        <v>4.75</v>
      </c>
      <c r="P21" s="145">
        <f>J21</f>
        <v>1207894.3799999952</v>
      </c>
      <c r="Q21" s="159">
        <f t="shared" si="1"/>
        <v>966315.50399999623</v>
      </c>
      <c r="R21" s="22">
        <f t="shared" si="2"/>
        <v>966315.5</v>
      </c>
    </row>
    <row r="22" spans="1:18">
      <c r="A22" s="126">
        <v>18</v>
      </c>
      <c r="B22" s="3" t="s">
        <v>192</v>
      </c>
      <c r="C22" s="3">
        <v>60</v>
      </c>
      <c r="D22" s="156">
        <v>55055</v>
      </c>
      <c r="E22" s="63">
        <v>1.1499999999999999</v>
      </c>
      <c r="F22" s="100">
        <v>1.2</v>
      </c>
      <c r="G22" s="65">
        <v>1.2</v>
      </c>
      <c r="H22" s="18">
        <v>15246904.220000001</v>
      </c>
      <c r="I22" s="70">
        <v>15797738.18</v>
      </c>
      <c r="J22" s="138">
        <v>550833.95999999903</v>
      </c>
      <c r="K22" s="139">
        <v>0</v>
      </c>
      <c r="L22" s="13">
        <v>1</v>
      </c>
      <c r="M22" s="13">
        <v>1</v>
      </c>
      <c r="N22" s="13">
        <v>0</v>
      </c>
      <c r="O22" s="91">
        <f t="shared" si="0"/>
        <v>0.5</v>
      </c>
      <c r="P22" s="145">
        <f>0.6*J22</f>
        <v>330500.37599999941</v>
      </c>
      <c r="Q22" s="159">
        <f t="shared" si="1"/>
        <v>264400.30079999956</v>
      </c>
      <c r="R22" s="22">
        <f t="shared" si="2"/>
        <v>264400.3</v>
      </c>
    </row>
    <row r="23" spans="1:18">
      <c r="A23" s="126">
        <v>19</v>
      </c>
      <c r="B23" s="3" t="s">
        <v>194</v>
      </c>
      <c r="C23" s="3">
        <v>94</v>
      </c>
      <c r="D23" s="156">
        <v>53472</v>
      </c>
      <c r="E23" s="63">
        <v>1.1499999999999999</v>
      </c>
      <c r="F23" s="100">
        <v>1.2</v>
      </c>
      <c r="G23" s="65">
        <v>1.2</v>
      </c>
      <c r="H23" s="18">
        <v>28534152.050000001</v>
      </c>
      <c r="I23" s="70">
        <v>29565022.539999999</v>
      </c>
      <c r="J23" s="138">
        <v>1030870.4899999984</v>
      </c>
      <c r="K23" s="139">
        <v>1</v>
      </c>
      <c r="L23" s="13">
        <v>1</v>
      </c>
      <c r="M23" s="13">
        <v>0</v>
      </c>
      <c r="N23" s="13">
        <v>0</v>
      </c>
      <c r="O23" s="91">
        <f t="shared" si="0"/>
        <v>0.5</v>
      </c>
      <c r="P23" s="145">
        <f>0.6*J23</f>
        <v>618522.29399999895</v>
      </c>
      <c r="Q23" s="159">
        <f t="shared" si="1"/>
        <v>494817.83519999916</v>
      </c>
      <c r="R23" s="22">
        <f t="shared" si="2"/>
        <v>494817.84</v>
      </c>
    </row>
    <row r="24" spans="1:18">
      <c r="A24" s="126">
        <v>20</v>
      </c>
      <c r="B24" s="3" t="s">
        <v>200</v>
      </c>
      <c r="C24" s="3">
        <v>123</v>
      </c>
      <c r="D24" s="156">
        <v>61230</v>
      </c>
      <c r="E24" s="63">
        <v>1.1000000000000001</v>
      </c>
      <c r="F24" s="100">
        <v>1.1499999999999999</v>
      </c>
      <c r="G24" s="65">
        <v>1.1499999999999999</v>
      </c>
      <c r="H24" s="18">
        <v>40066968.170000002</v>
      </c>
      <c r="I24" s="70">
        <v>41593117.880000003</v>
      </c>
      <c r="J24" s="138">
        <v>1526149.7100000009</v>
      </c>
      <c r="K24" s="139">
        <v>6</v>
      </c>
      <c r="L24" s="13">
        <v>6</v>
      </c>
      <c r="M24" s="13">
        <v>7</v>
      </c>
      <c r="N24" s="13">
        <v>2</v>
      </c>
      <c r="O24" s="91">
        <f t="shared" si="0"/>
        <v>5.25</v>
      </c>
      <c r="P24" s="145">
        <f>J24</f>
        <v>1526149.7100000009</v>
      </c>
      <c r="Q24" s="159">
        <f t="shared" si="1"/>
        <v>1220919.7680000009</v>
      </c>
      <c r="R24" s="22">
        <f t="shared" si="2"/>
        <v>1220919.77</v>
      </c>
    </row>
    <row r="25" spans="1:18">
      <c r="A25" s="142"/>
      <c r="B25" s="8"/>
      <c r="C25" s="8"/>
      <c r="D25" s="10"/>
      <c r="E25" s="83"/>
      <c r="F25" s="84"/>
      <c r="G25" s="84"/>
      <c r="H25" s="14"/>
      <c r="I25" s="87"/>
      <c r="J25" s="140">
        <f>SUM(J5:J24)</f>
        <v>24313843.109999981</v>
      </c>
      <c r="K25" s="141"/>
      <c r="L25" s="141"/>
      <c r="M25" s="141"/>
      <c r="N25" s="141"/>
      <c r="O25" s="141"/>
      <c r="P25" s="140">
        <f>SUM(P5:P24)</f>
        <v>19215713.439999986</v>
      </c>
      <c r="Q25" s="140">
        <f>SUM(Q5:Q24)</f>
        <v>15372570.751999987</v>
      </c>
      <c r="R25" s="160">
        <f>SUM(R5:R24)</f>
        <v>15372570.750000002</v>
      </c>
    </row>
  </sheetData>
  <mergeCells count="10">
    <mergeCell ref="R3:R4"/>
    <mergeCell ref="A3:A4"/>
    <mergeCell ref="J3:J4"/>
    <mergeCell ref="Q3:Q4"/>
    <mergeCell ref="P3:P4"/>
    <mergeCell ref="B3:B4"/>
    <mergeCell ref="C3:C4"/>
    <mergeCell ref="E3:G3"/>
    <mergeCell ref="K3:O3"/>
    <mergeCell ref="D3:D4"/>
  </mergeCells>
  <printOptions horizontalCentered="1"/>
  <pageMargins left="0.31496062992125984" right="0.31496062992125984" top="0.55118110236220474" bottom="0.55118110236220474" header="0.11811023622047245" footer="0.11811023622047245"/>
  <pageSetup paperSize="9" scale="75" orientation="landscape" horizontalDpi="4294967293" verticalDpi="0" r:id="rId1"/>
  <headerFooter>
    <oddFooter>&amp;F&amp;RPage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4151-77AF-4141-9875-14149F83CA8C}">
  <sheetPr>
    <tabColor rgb="FFFFC000"/>
  </sheetPr>
  <dimension ref="A1:AK106"/>
  <sheetViews>
    <sheetView workbookViewId="0">
      <pane xSplit="9" ySplit="9" topLeftCell="T46" activePane="bottomRight" state="frozen"/>
      <selection pane="topRight" activeCell="J1" sqref="J1"/>
      <selection pane="bottomLeft" activeCell="A10" sqref="A10"/>
      <selection pane="bottomRight" activeCell="T85" sqref="T85"/>
    </sheetView>
  </sheetViews>
  <sheetFormatPr defaultColWidth="9" defaultRowHeight="13" outlineLevelRow="2"/>
  <cols>
    <col min="1" max="1" width="5" style="11" customWidth="1"/>
    <col min="2" max="2" width="4.36328125" style="11" customWidth="1"/>
    <col min="3" max="3" width="5.453125" style="11" hidden="1" customWidth="1"/>
    <col min="4" max="4" width="9" style="11"/>
    <col min="5" max="5" width="5.08984375" style="11" customWidth="1"/>
    <col min="6" max="7" width="13.26953125" style="11" customWidth="1"/>
    <col min="8" max="8" width="8.26953125" style="11" customWidth="1"/>
    <col min="9" max="9" width="9.26953125" style="11" customWidth="1"/>
    <col min="10" max="10" width="8.90625" style="11" customWidth="1"/>
    <col min="11" max="13" width="9.7265625" style="11" customWidth="1"/>
    <col min="14" max="14" width="13.90625" style="11" customWidth="1"/>
    <col min="15" max="16" width="11.453125" style="11" customWidth="1"/>
    <col min="17" max="17" width="11.36328125" style="11" customWidth="1"/>
    <col min="18" max="18" width="14.6328125" style="11" customWidth="1"/>
    <col min="19" max="20" width="15.6328125" style="11" customWidth="1"/>
    <col min="21" max="21" width="15" style="11" customWidth="1"/>
    <col min="22" max="22" width="15.453125" style="11" customWidth="1"/>
    <col min="23" max="23" width="16.7265625" style="11" customWidth="1"/>
    <col min="24" max="24" width="17.453125" style="11" customWidth="1"/>
    <col min="25" max="25" width="15.6328125" style="11" customWidth="1"/>
    <col min="26" max="26" width="16.36328125" style="11" customWidth="1"/>
    <col min="27" max="27" width="17" style="11" customWidth="1"/>
    <col min="28" max="28" width="16.7265625" style="11" customWidth="1"/>
    <col min="29" max="29" width="15.08984375" style="11" customWidth="1"/>
    <col min="30" max="30" width="15.7265625" style="11" customWidth="1"/>
    <col min="31" max="31" width="15.26953125" style="11" customWidth="1"/>
    <col min="32" max="32" width="16.90625" style="11" customWidth="1"/>
    <col min="33" max="34" width="15.36328125" style="11" customWidth="1"/>
    <col min="35" max="35" width="16.7265625" style="11" customWidth="1"/>
    <col min="36" max="37" width="18.26953125" style="11" customWidth="1"/>
    <col min="38" max="38" width="22.08984375" style="11" customWidth="1"/>
    <col min="39" max="16384" width="9" style="11"/>
  </cols>
  <sheetData>
    <row r="1" spans="1:37" ht="9.75" customHeight="1"/>
    <row r="2" spans="1:37" ht="9.75" customHeight="1"/>
    <row r="3" spans="1:37" ht="9.75" customHeight="1"/>
    <row r="5" spans="1:37" ht="12.75" customHeight="1">
      <c r="Y5" s="23" t="s">
        <v>232</v>
      </c>
      <c r="Z5" s="24">
        <f>'[1]3.สรุปวงเงินเขต'!C11</f>
        <v>89502913.969999999</v>
      </c>
      <c r="AB5" s="176" t="s">
        <v>233</v>
      </c>
      <c r="AC5" s="177"/>
      <c r="AD5" s="178"/>
      <c r="AE5" s="25" t="s">
        <v>234</v>
      </c>
      <c r="AF5" s="26">
        <f>'[1]3.สรุปวงเงินเขต'!F10</f>
        <v>283621415</v>
      </c>
      <c r="AG5" s="185" t="s">
        <v>235</v>
      </c>
      <c r="AH5" s="186"/>
      <c r="AI5" s="187"/>
      <c r="AJ5" s="194" t="s">
        <v>236</v>
      </c>
      <c r="AK5" s="194"/>
    </row>
    <row r="6" spans="1:37">
      <c r="Y6" s="27" t="s">
        <v>237</v>
      </c>
      <c r="Z6" s="28">
        <f>Z105</f>
        <v>89502913.969999999</v>
      </c>
      <c r="AB6" s="179"/>
      <c r="AC6" s="180"/>
      <c r="AD6" s="181"/>
      <c r="AE6" s="29" t="s">
        <v>238</v>
      </c>
      <c r="AF6" s="30">
        <f>AE105</f>
        <v>0</v>
      </c>
      <c r="AG6" s="188"/>
      <c r="AH6" s="189"/>
      <c r="AI6" s="190"/>
      <c r="AJ6" s="194"/>
      <c r="AK6" s="194"/>
    </row>
    <row r="7" spans="1:37">
      <c r="P7" s="31" t="s">
        <v>239</v>
      </c>
      <c r="Q7" s="32">
        <f>'[1]3.สรุปวงเงินเขต'!C5/SUMPRODUCT($J$10:$J$104,$N$10:$N$104)</f>
        <v>6992.7660449367131</v>
      </c>
      <c r="Y7" s="27" t="s">
        <v>240</v>
      </c>
      <c r="Z7" s="24">
        <f>ROUND(Z5-Z6,2)</f>
        <v>0</v>
      </c>
      <c r="AB7" s="182"/>
      <c r="AC7" s="183"/>
      <c r="AD7" s="184"/>
      <c r="AE7" s="33" t="s">
        <v>241</v>
      </c>
      <c r="AF7" s="34">
        <f>ROUND(AF5-AF6,2)</f>
        <v>283621415</v>
      </c>
      <c r="AG7" s="191"/>
      <c r="AH7" s="192"/>
      <c r="AI7" s="193"/>
      <c r="AJ7" s="194"/>
      <c r="AK7" s="194"/>
    </row>
    <row r="8" spans="1:37" s="40" customFormat="1" ht="21" customHeight="1">
      <c r="A8" s="15"/>
      <c r="B8" s="15"/>
      <c r="C8" s="15"/>
      <c r="D8" s="15"/>
      <c r="E8" s="15"/>
      <c r="F8" s="15"/>
      <c r="G8" s="171" t="s">
        <v>275</v>
      </c>
      <c r="H8" s="195" t="s">
        <v>242</v>
      </c>
      <c r="I8" s="195"/>
      <c r="J8" s="196"/>
      <c r="K8" s="35" t="s">
        <v>0</v>
      </c>
      <c r="L8" s="17" t="s">
        <v>207</v>
      </c>
      <c r="M8" s="17" t="s">
        <v>208</v>
      </c>
      <c r="N8" s="17" t="s">
        <v>209</v>
      </c>
      <c r="O8" s="17" t="s">
        <v>211</v>
      </c>
      <c r="P8" s="17" t="s">
        <v>213</v>
      </c>
      <c r="Q8" s="17" t="s">
        <v>215</v>
      </c>
      <c r="R8" s="17" t="s">
        <v>217</v>
      </c>
      <c r="S8" s="17" t="s">
        <v>219</v>
      </c>
      <c r="T8" s="17" t="s">
        <v>221</v>
      </c>
      <c r="U8" s="17" t="s">
        <v>243</v>
      </c>
      <c r="V8" s="17" t="s">
        <v>244</v>
      </c>
      <c r="W8" s="17" t="s">
        <v>223</v>
      </c>
      <c r="X8" s="17" t="s">
        <v>225</v>
      </c>
      <c r="Y8" s="17" t="s">
        <v>227</v>
      </c>
      <c r="Z8" s="19" t="s">
        <v>229</v>
      </c>
      <c r="AA8" s="21" t="s">
        <v>230</v>
      </c>
      <c r="AB8" s="36" t="s">
        <v>231</v>
      </c>
      <c r="AC8" s="36" t="s">
        <v>245</v>
      </c>
      <c r="AD8" s="36" t="s">
        <v>246</v>
      </c>
      <c r="AE8" s="37" t="s">
        <v>247</v>
      </c>
      <c r="AF8" s="38" t="s">
        <v>248</v>
      </c>
      <c r="AG8" s="39" t="s">
        <v>249</v>
      </c>
      <c r="AH8" s="39" t="s">
        <v>250</v>
      </c>
      <c r="AI8" s="39" t="s">
        <v>251</v>
      </c>
      <c r="AJ8" s="39" t="s">
        <v>252</v>
      </c>
      <c r="AK8" s="39" t="s">
        <v>253</v>
      </c>
    </row>
    <row r="9" spans="1:37" s="50" customFormat="1" ht="59.25" customHeight="1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254</v>
      </c>
      <c r="G9" s="171"/>
      <c r="H9" s="41" t="s">
        <v>255</v>
      </c>
      <c r="I9" s="42" t="s">
        <v>256</v>
      </c>
      <c r="J9" s="43" t="s">
        <v>257</v>
      </c>
      <c r="K9" s="12" t="s">
        <v>258</v>
      </c>
      <c r="L9" s="12" t="s">
        <v>259</v>
      </c>
      <c r="M9" s="12" t="s">
        <v>260</v>
      </c>
      <c r="N9" s="12" t="s">
        <v>210</v>
      </c>
      <c r="O9" s="12" t="s">
        <v>212</v>
      </c>
      <c r="P9" s="16" t="s">
        <v>214</v>
      </c>
      <c r="Q9" s="12" t="s">
        <v>216</v>
      </c>
      <c r="R9" s="12" t="s">
        <v>218</v>
      </c>
      <c r="S9" s="12" t="s">
        <v>220</v>
      </c>
      <c r="T9" s="158" t="s">
        <v>222</v>
      </c>
      <c r="U9" s="12" t="s">
        <v>261</v>
      </c>
      <c r="V9" s="44" t="s">
        <v>262</v>
      </c>
      <c r="W9" s="12" t="s">
        <v>224</v>
      </c>
      <c r="X9" s="12" t="s">
        <v>226</v>
      </c>
      <c r="Y9" s="12" t="s">
        <v>228</v>
      </c>
      <c r="Z9" s="45" t="s">
        <v>263</v>
      </c>
      <c r="AA9" s="46" t="s">
        <v>264</v>
      </c>
      <c r="AB9" s="47" t="s">
        <v>265</v>
      </c>
      <c r="AC9" s="44" t="s">
        <v>266</v>
      </c>
      <c r="AD9" s="44" t="s">
        <v>267</v>
      </c>
      <c r="AE9" s="42" t="s">
        <v>268</v>
      </c>
      <c r="AF9" s="48" t="s">
        <v>269</v>
      </c>
      <c r="AG9" s="49" t="s">
        <v>270</v>
      </c>
      <c r="AH9" s="49" t="s">
        <v>271</v>
      </c>
      <c r="AI9" s="12" t="s">
        <v>272</v>
      </c>
      <c r="AJ9" s="44" t="s">
        <v>273</v>
      </c>
      <c r="AK9" s="44" t="s">
        <v>274</v>
      </c>
    </row>
    <row r="10" spans="1:37" ht="14.25" customHeight="1" outlineLevel="2">
      <c r="A10" s="51">
        <v>498</v>
      </c>
      <c r="B10" s="52" t="s">
        <v>6</v>
      </c>
      <c r="C10" s="3" t="s">
        <v>7</v>
      </c>
      <c r="D10" s="52" t="s">
        <v>8</v>
      </c>
      <c r="E10" s="52" t="s">
        <v>9</v>
      </c>
      <c r="F10" s="52" t="s">
        <v>10</v>
      </c>
      <c r="G10" s="52">
        <v>301</v>
      </c>
      <c r="H10" s="53">
        <v>1.1000000000000001</v>
      </c>
      <c r="I10" s="54"/>
      <c r="J10" s="55">
        <f t="shared" ref="J10:J73" si="0">IF(I10&lt;&gt;"",ROUND(I10,2),H10)</f>
        <v>1.1000000000000001</v>
      </c>
      <c r="K10" s="56">
        <v>76768</v>
      </c>
      <c r="L10" s="57">
        <f>VLOOKUP($E10,'[1]2.จัดสรรหลังSK'!$E$4:$Y$98,5,FALSE)</f>
        <v>1073.7429563099208</v>
      </c>
      <c r="M10" s="57">
        <f>VLOOKUP($E10,'[1]2.จัดสรรหลังSK'!$E$4:$Y$98,6,FALSE)</f>
        <v>216.67375494997916</v>
      </c>
      <c r="N10" s="58">
        <v>17006.694100000001</v>
      </c>
      <c r="O10" s="58">
        <v>422.09010000000001</v>
      </c>
      <c r="P10" s="58">
        <v>389.9769</v>
      </c>
      <c r="Q10" s="53">
        <f t="shared" ref="Q10:Q73" si="1">$Q$7</f>
        <v>6992.7660449367131</v>
      </c>
      <c r="R10" s="53">
        <f>VLOOKUP($E10,'[1]2.จัดสรรหลังSK'!$E$4:$Y$98,11,FALSE)</f>
        <v>82429099.269999996</v>
      </c>
      <c r="S10" s="53">
        <f>VLOOKUP($E10,'[1]2.จัดสรรหลังSK'!$E$4:$Y$98,12,FALSE)</f>
        <v>16633610.82</v>
      </c>
      <c r="T10" s="55">
        <f>IF($I$105&lt;&gt;0,ROUND(ROUND(N10*J10,4)*Q10,2),VLOOKUP($E10,'[1]2.จัดสรรหลังSK'!$E$4:$Q$98,13,FALSE))</f>
        <v>130816216.27</v>
      </c>
      <c r="U10" s="53">
        <f>VLOOKUP($E10,'[1]2.จัดสรรหลังSK'!$E$4:$Y$98,14,FALSE)</f>
        <v>4052064.96</v>
      </c>
      <c r="V10" s="53">
        <f>VLOOKUP($E10,'[1]2.จัดสรรหลังSK'!$E$4:$Y$98,15,FALSE)</f>
        <v>3509792.1</v>
      </c>
      <c r="W10" s="57">
        <f t="shared" ref="W10:W17" si="2">SUM(R10:V10)</f>
        <v>237440783.42000002</v>
      </c>
      <c r="X10" s="57">
        <v>93112397</v>
      </c>
      <c r="Y10" s="53">
        <f t="shared" ref="Y10:Y17" si="3">ROUND(W10-X10,2)</f>
        <v>144328386.41999999</v>
      </c>
      <c r="Z10" s="59">
        <v>0</v>
      </c>
      <c r="AA10" s="60">
        <f t="shared" ref="AA10:AA17" si="4">ROUND(Y10+Z10,2)</f>
        <v>144328386.41999999</v>
      </c>
      <c r="AB10" s="57">
        <f>VLOOKUP($E10,'[1]2.จัดสรรหลังSK'!$E$4:$Y$98,21,FALSE)</f>
        <v>130461290.43000001</v>
      </c>
      <c r="AC10" s="57">
        <f t="shared" ref="AC10:AC17" si="5">ROUND(AA10-AB10,2)</f>
        <v>13867095.99</v>
      </c>
      <c r="AD10" s="61" t="str">
        <f t="shared" ref="AD10:AD17" si="6">IF(AA10&gt;=AB10,"ผ่าน","ไม่ผ่าน")</f>
        <v>ผ่าน</v>
      </c>
      <c r="AE10" s="62"/>
      <c r="AF10" s="57">
        <f t="shared" ref="AF10:AF17" si="7">ROUND(AA10+AE10,2)</f>
        <v>144328386.41999999</v>
      </c>
      <c r="AG10" s="62"/>
      <c r="AH10" s="62"/>
      <c r="AI10" s="57">
        <f t="shared" ref="AI10:AI17" si="8">ROUND(AG10+AH10,2)</f>
        <v>0</v>
      </c>
      <c r="AJ10" s="57">
        <f t="shared" ref="AJ10:AJ17" si="9">ROUND(AA10-AI10,2)</f>
        <v>144328386.41999999</v>
      </c>
      <c r="AK10" s="57">
        <f t="shared" ref="AK10:AK17" si="10">ROUND(AF10-AI10,2)</f>
        <v>144328386.41999999</v>
      </c>
    </row>
    <row r="11" spans="1:37" ht="14.25" customHeight="1" outlineLevel="2">
      <c r="A11" s="2">
        <v>499</v>
      </c>
      <c r="B11" s="3" t="s">
        <v>6</v>
      </c>
      <c r="C11" s="3" t="s">
        <v>7</v>
      </c>
      <c r="D11" s="3" t="s">
        <v>8</v>
      </c>
      <c r="E11" s="3" t="s">
        <v>11</v>
      </c>
      <c r="F11" s="3" t="s">
        <v>12</v>
      </c>
      <c r="G11" s="3">
        <v>41</v>
      </c>
      <c r="H11" s="63">
        <v>1.2</v>
      </c>
      <c r="I11" s="64"/>
      <c r="J11" s="65">
        <f t="shared" si="0"/>
        <v>1.2</v>
      </c>
      <c r="K11" s="66">
        <v>41820</v>
      </c>
      <c r="L11" s="67">
        <f>VLOOKUP($E11,'[1]2.จัดสรรหลังSK'!$E$4:$Y$98,5,FALSE)</f>
        <v>1268.0514689143949</v>
      </c>
      <c r="M11" s="67">
        <f>VLOOKUP($E11,'[1]2.จัดสรรหลังSK'!$E$4:$Y$98,6,FALSE)</f>
        <v>255.88384218077474</v>
      </c>
      <c r="N11" s="68">
        <v>1910.0536999999999</v>
      </c>
      <c r="O11" s="68">
        <v>44.394199999999998</v>
      </c>
      <c r="P11" s="68">
        <v>0</v>
      </c>
      <c r="Q11" s="63">
        <f t="shared" si="1"/>
        <v>6992.7660449367131</v>
      </c>
      <c r="R11" s="63">
        <f>VLOOKUP($E11,'[1]2.จัดสรรหลังSK'!$E$4:$Y$98,11,FALSE)</f>
        <v>53029912.43</v>
      </c>
      <c r="S11" s="63">
        <f>VLOOKUP($E11,'[1]2.จัดสรรหลังSK'!$E$4:$Y$98,12,FALSE)</f>
        <v>10701062.279999999</v>
      </c>
      <c r="T11" s="65">
        <f>IF($I$105&lt;&gt;0,ROUND(ROUND(N11*J11,4)*Q11,2),VLOOKUP($E11,'[1]2.จัดสรรหลังSK'!$E$4:$Q$98,13,FALSE))</f>
        <v>16027870.109999999</v>
      </c>
      <c r="U11" s="63">
        <f>VLOOKUP($E11,'[1]2.จัดสรรหลังSK'!$E$4:$Y$98,14,FALSE)</f>
        <v>426184.32</v>
      </c>
      <c r="V11" s="63">
        <f>VLOOKUP($E11,'[1]2.จัดสรรหลังSK'!$E$4:$Y$98,15,FALSE)</f>
        <v>0</v>
      </c>
      <c r="W11" s="67">
        <f t="shared" si="2"/>
        <v>80185029.139999986</v>
      </c>
      <c r="X11" s="67">
        <v>26804885</v>
      </c>
      <c r="Y11" s="63">
        <f t="shared" si="3"/>
        <v>53380144.140000001</v>
      </c>
      <c r="Z11" s="69">
        <v>0</v>
      </c>
      <c r="AA11" s="70">
        <f t="shared" si="4"/>
        <v>53380144.140000001</v>
      </c>
      <c r="AB11" s="67">
        <f>VLOOKUP($E11,'[1]2.จัดสรรหลังSK'!$E$4:$Y$98,21,FALSE)</f>
        <v>46343219.890000001</v>
      </c>
      <c r="AC11" s="67">
        <f t="shared" si="5"/>
        <v>7036924.25</v>
      </c>
      <c r="AD11" s="71" t="str">
        <f t="shared" si="6"/>
        <v>ผ่าน</v>
      </c>
      <c r="AE11" s="72"/>
      <c r="AF11" s="67">
        <f t="shared" si="7"/>
        <v>53380144.140000001</v>
      </c>
      <c r="AG11" s="72"/>
      <c r="AH11" s="72"/>
      <c r="AI11" s="67">
        <f t="shared" si="8"/>
        <v>0</v>
      </c>
      <c r="AJ11" s="67">
        <f t="shared" si="9"/>
        <v>53380144.140000001</v>
      </c>
      <c r="AK11" s="67">
        <f t="shared" si="10"/>
        <v>53380144.140000001</v>
      </c>
    </row>
    <row r="12" spans="1:37" ht="14.25" customHeight="1" outlineLevel="2">
      <c r="A12" s="2">
        <v>500</v>
      </c>
      <c r="B12" s="3" t="s">
        <v>6</v>
      </c>
      <c r="C12" s="3" t="s">
        <v>7</v>
      </c>
      <c r="D12" s="3" t="s">
        <v>8</v>
      </c>
      <c r="E12" s="3" t="s">
        <v>13</v>
      </c>
      <c r="F12" s="3" t="s">
        <v>14</v>
      </c>
      <c r="G12" s="3">
        <v>74</v>
      </c>
      <c r="H12" s="63">
        <v>1.1499999999999999</v>
      </c>
      <c r="I12" s="64">
        <v>1.2</v>
      </c>
      <c r="J12" s="65">
        <f t="shared" si="0"/>
        <v>1.2</v>
      </c>
      <c r="K12" s="66">
        <v>48560</v>
      </c>
      <c r="L12" s="67">
        <f>VLOOKUP($E12,'[1]2.จัดสรรหลังSK'!$E$4:$Y$98,5,FALSE)</f>
        <v>1220.5603189868204</v>
      </c>
      <c r="M12" s="67">
        <f>VLOOKUP($E12,'[1]2.จัดสรรหลังSK'!$E$4:$Y$98,6,FALSE)</f>
        <v>246.30046313838551</v>
      </c>
      <c r="N12" s="68">
        <v>2365.1954999999998</v>
      </c>
      <c r="O12" s="68">
        <v>52.448999999999998</v>
      </c>
      <c r="P12" s="68">
        <v>0</v>
      </c>
      <c r="Q12" s="63">
        <f t="shared" si="1"/>
        <v>6992.7660449367131</v>
      </c>
      <c r="R12" s="63">
        <f>VLOOKUP($E12,'[1]2.จัดสรรหลังSK'!$E$4:$Y$98,11,FALSE)</f>
        <v>59270409.090000004</v>
      </c>
      <c r="S12" s="63">
        <f>VLOOKUP($E12,'[1]2.จัดสรรหลังSK'!$E$4:$Y$98,12,FALSE)</f>
        <v>11960350.49</v>
      </c>
      <c r="T12" s="65">
        <f>IF($I$105&lt;&gt;0,ROUND(ROUND(N12*J12,4)*Q12,2),VLOOKUP($E12,'[1]2.จัดสรรหลังSK'!$E$4:$Q$98,13,FALSE))</f>
        <v>19847110.539999999</v>
      </c>
      <c r="U12" s="63">
        <f>VLOOKUP($E12,'[1]2.จัดสรรหลังSK'!$E$4:$Y$98,14,FALSE)</f>
        <v>503510.4</v>
      </c>
      <c r="V12" s="63">
        <f>VLOOKUP($E12,'[1]2.จัดสรรหลังSK'!$E$4:$Y$98,15,FALSE)</f>
        <v>0</v>
      </c>
      <c r="W12" s="67">
        <f t="shared" si="2"/>
        <v>91581380.520000011</v>
      </c>
      <c r="X12" s="67">
        <v>30342831</v>
      </c>
      <c r="Y12" s="63">
        <f t="shared" si="3"/>
        <v>61238549.520000003</v>
      </c>
      <c r="Z12" s="69">
        <v>0</v>
      </c>
      <c r="AA12" s="70">
        <f t="shared" si="4"/>
        <v>61238549.520000003</v>
      </c>
      <c r="AB12" s="67">
        <f>VLOOKUP($E12,'[1]2.จัดสรรหลังSK'!$E$4:$Y$98,21,FALSE)</f>
        <v>54073321.310000002</v>
      </c>
      <c r="AC12" s="67">
        <f t="shared" si="5"/>
        <v>7165228.21</v>
      </c>
      <c r="AD12" s="71" t="str">
        <f t="shared" si="6"/>
        <v>ผ่าน</v>
      </c>
      <c r="AE12" s="72"/>
      <c r="AF12" s="67">
        <f t="shared" si="7"/>
        <v>61238549.520000003</v>
      </c>
      <c r="AG12" s="72"/>
      <c r="AH12" s="72"/>
      <c r="AI12" s="67">
        <f t="shared" si="8"/>
        <v>0</v>
      </c>
      <c r="AJ12" s="67">
        <f t="shared" si="9"/>
        <v>61238549.520000003</v>
      </c>
      <c r="AK12" s="67">
        <f t="shared" si="10"/>
        <v>61238549.520000003</v>
      </c>
    </row>
    <row r="13" spans="1:37" ht="14.25" customHeight="1" outlineLevel="2">
      <c r="A13" s="2">
        <v>501</v>
      </c>
      <c r="B13" s="3" t="s">
        <v>6</v>
      </c>
      <c r="C13" s="3" t="s">
        <v>7</v>
      </c>
      <c r="D13" s="3" t="s">
        <v>8</v>
      </c>
      <c r="E13" s="3" t="s">
        <v>15</v>
      </c>
      <c r="F13" s="3" t="s">
        <v>16</v>
      </c>
      <c r="G13" s="3">
        <v>123</v>
      </c>
      <c r="H13" s="63">
        <v>1.1499999999999999</v>
      </c>
      <c r="I13" s="64">
        <v>1.2</v>
      </c>
      <c r="J13" s="65">
        <f t="shared" si="0"/>
        <v>1.2</v>
      </c>
      <c r="K13" s="66">
        <v>53836</v>
      </c>
      <c r="L13" s="67">
        <f>VLOOKUP($E13,'[1]2.จัดสรรหลังSK'!$E$4:$Y$98,5,FALSE)</f>
        <v>1185.6846760531985</v>
      </c>
      <c r="M13" s="67">
        <f>VLOOKUP($E13,'[1]2.จัดสรรหลังSK'!$E$4:$Y$98,6,FALSE)</f>
        <v>239.26280444312357</v>
      </c>
      <c r="N13" s="68">
        <v>5188.9453999999996</v>
      </c>
      <c r="O13" s="68">
        <v>76.522400000000005</v>
      </c>
      <c r="P13" s="68">
        <v>3.7869999999999999</v>
      </c>
      <c r="Q13" s="63">
        <f t="shared" si="1"/>
        <v>6992.7660449367131</v>
      </c>
      <c r="R13" s="63">
        <f>VLOOKUP($E13,'[1]2.จัดสรรหลังSK'!$E$4:$Y$98,11,FALSE)</f>
        <v>63832520.219999999</v>
      </c>
      <c r="S13" s="63">
        <f>VLOOKUP($E13,'[1]2.จัดสรรหลังSK'!$E$4:$Y$98,12,FALSE)</f>
        <v>12880952.34</v>
      </c>
      <c r="T13" s="65">
        <f>IF($I$105&lt;&gt;0,ROUND(ROUND(N13*J13,4)*Q13,2),VLOOKUP($E13,'[1]2.จัดสรรหลังSK'!$E$4:$Q$98,13,FALSE))</f>
        <v>43542097.579999998</v>
      </c>
      <c r="U13" s="63">
        <f>VLOOKUP($E13,'[1]2.จัดสรรหลังSK'!$E$4:$Y$98,14,FALSE)</f>
        <v>734615.04000000004</v>
      </c>
      <c r="V13" s="63">
        <f>VLOOKUP($E13,'[1]2.จัดสรรหลังSK'!$E$4:$Y$98,15,FALSE)</f>
        <v>34083</v>
      </c>
      <c r="W13" s="67">
        <f t="shared" si="2"/>
        <v>121024268.18000001</v>
      </c>
      <c r="X13" s="67">
        <v>43299082</v>
      </c>
      <c r="Y13" s="63">
        <f t="shared" si="3"/>
        <v>77725186.180000007</v>
      </c>
      <c r="Z13" s="69">
        <v>0</v>
      </c>
      <c r="AA13" s="70">
        <f t="shared" si="4"/>
        <v>77725186.180000007</v>
      </c>
      <c r="AB13" s="67">
        <f>VLOOKUP($E13,'[1]2.จัดสรรหลังSK'!$E$4:$Y$98,21,FALSE)</f>
        <v>69913498.079999998</v>
      </c>
      <c r="AC13" s="67">
        <f t="shared" si="5"/>
        <v>7811688.0999999996</v>
      </c>
      <c r="AD13" s="71" t="str">
        <f t="shared" si="6"/>
        <v>ผ่าน</v>
      </c>
      <c r="AE13" s="72"/>
      <c r="AF13" s="67">
        <f t="shared" si="7"/>
        <v>77725186.180000007</v>
      </c>
      <c r="AG13" s="72"/>
      <c r="AH13" s="72"/>
      <c r="AI13" s="67">
        <f t="shared" si="8"/>
        <v>0</v>
      </c>
      <c r="AJ13" s="67">
        <f t="shared" si="9"/>
        <v>77725186.180000007</v>
      </c>
      <c r="AK13" s="67">
        <f t="shared" si="10"/>
        <v>77725186.180000007</v>
      </c>
    </row>
    <row r="14" spans="1:37" ht="14.25" customHeight="1" outlineLevel="2">
      <c r="A14" s="2">
        <v>502</v>
      </c>
      <c r="B14" s="3" t="s">
        <v>6</v>
      </c>
      <c r="C14" s="3" t="s">
        <v>7</v>
      </c>
      <c r="D14" s="3" t="s">
        <v>8</v>
      </c>
      <c r="E14" s="3" t="s">
        <v>17</v>
      </c>
      <c r="F14" s="3" t="s">
        <v>18</v>
      </c>
      <c r="G14" s="3">
        <v>37</v>
      </c>
      <c r="H14" s="63">
        <v>1.25</v>
      </c>
      <c r="I14" s="64"/>
      <c r="J14" s="65">
        <f t="shared" si="0"/>
        <v>1.25</v>
      </c>
      <c r="K14" s="66">
        <v>31312</v>
      </c>
      <c r="L14" s="67">
        <f>VLOOKUP($E14,'[1]2.จัดสรรหลังSK'!$E$4:$Y$98,5,FALSE)</f>
        <v>1359.5228283086356</v>
      </c>
      <c r="M14" s="67">
        <f>VLOOKUP($E14,'[1]2.จัดสรรหลังSK'!$E$4:$Y$98,6,FALSE)</f>
        <v>274.34211739908022</v>
      </c>
      <c r="N14" s="68">
        <v>1959.0965000000001</v>
      </c>
      <c r="O14" s="68">
        <v>50.553899999999999</v>
      </c>
      <c r="P14" s="68">
        <v>0</v>
      </c>
      <c r="Q14" s="63">
        <f t="shared" si="1"/>
        <v>6992.7660449367131</v>
      </c>
      <c r="R14" s="63">
        <f>VLOOKUP($E14,'[1]2.จัดสรรหลังSK'!$E$4:$Y$98,11,FALSE)</f>
        <v>42569378.799999997</v>
      </c>
      <c r="S14" s="63">
        <f>VLOOKUP($E14,'[1]2.จัดสรรหลังSK'!$E$4:$Y$98,12,FALSE)</f>
        <v>8590200.3800000008</v>
      </c>
      <c r="T14" s="65">
        <f>IF($I$105&lt;&gt;0,ROUND(ROUND(N14*J14,4)*Q14,2),VLOOKUP($E14,'[1]2.จัดสรรหลังSK'!$E$4:$Q$98,13,FALSE))</f>
        <v>17124379.18</v>
      </c>
      <c r="U14" s="63">
        <f>VLOOKUP($E14,'[1]2.จัดสรรหลังSK'!$E$4:$Y$98,14,FALSE)</f>
        <v>485317.44</v>
      </c>
      <c r="V14" s="63">
        <f>VLOOKUP($E14,'[1]2.จัดสรรหลังSK'!$E$4:$Y$98,15,FALSE)</f>
        <v>0</v>
      </c>
      <c r="W14" s="67">
        <f t="shared" si="2"/>
        <v>68769275.799999997</v>
      </c>
      <c r="X14" s="67">
        <v>26215797</v>
      </c>
      <c r="Y14" s="63">
        <f t="shared" si="3"/>
        <v>42553478.799999997</v>
      </c>
      <c r="Z14" s="69">
        <v>0</v>
      </c>
      <c r="AA14" s="70">
        <f t="shared" si="4"/>
        <v>42553478.799999997</v>
      </c>
      <c r="AB14" s="67">
        <f>VLOOKUP($E14,'[1]2.จัดสรรหลังSK'!$E$4:$Y$98,21,FALSE)</f>
        <v>35546380.18</v>
      </c>
      <c r="AC14" s="67">
        <f t="shared" si="5"/>
        <v>7007098.6200000001</v>
      </c>
      <c r="AD14" s="71" t="str">
        <f t="shared" si="6"/>
        <v>ผ่าน</v>
      </c>
      <c r="AE14" s="72"/>
      <c r="AF14" s="67">
        <f t="shared" si="7"/>
        <v>42553478.799999997</v>
      </c>
      <c r="AG14" s="72"/>
      <c r="AH14" s="72"/>
      <c r="AI14" s="67">
        <f t="shared" si="8"/>
        <v>0</v>
      </c>
      <c r="AJ14" s="67">
        <f t="shared" si="9"/>
        <v>42553478.799999997</v>
      </c>
      <c r="AK14" s="67">
        <f t="shared" si="10"/>
        <v>42553478.799999997</v>
      </c>
    </row>
    <row r="15" spans="1:37" ht="14.25" customHeight="1" outlineLevel="2">
      <c r="A15" s="2">
        <v>503</v>
      </c>
      <c r="B15" s="3" t="s">
        <v>6</v>
      </c>
      <c r="C15" s="3" t="s">
        <v>7</v>
      </c>
      <c r="D15" s="3" t="s">
        <v>8</v>
      </c>
      <c r="E15" s="3" t="s">
        <v>19</v>
      </c>
      <c r="F15" s="3" t="s">
        <v>20</v>
      </c>
      <c r="G15" s="3">
        <v>58</v>
      </c>
      <c r="H15" s="63">
        <v>1.25</v>
      </c>
      <c r="I15" s="64"/>
      <c r="J15" s="65">
        <f t="shared" si="0"/>
        <v>1.25</v>
      </c>
      <c r="K15" s="66">
        <v>30842</v>
      </c>
      <c r="L15" s="67">
        <f>VLOOKUP($E15,'[1]2.จัดสรรหลังSK'!$E$4:$Y$98,5,FALSE)</f>
        <v>1364.8482553012127</v>
      </c>
      <c r="M15" s="67">
        <f>VLOOKUP($E15,'[1]2.จัดสรรหลังSK'!$E$4:$Y$98,6,FALSE)</f>
        <v>275.41675085921793</v>
      </c>
      <c r="N15" s="68">
        <v>2274.6538999999998</v>
      </c>
      <c r="O15" s="68">
        <v>49.365699999999997</v>
      </c>
      <c r="P15" s="68">
        <v>0</v>
      </c>
      <c r="Q15" s="63">
        <f t="shared" si="1"/>
        <v>6992.7660449367131</v>
      </c>
      <c r="R15" s="63">
        <f>VLOOKUP($E15,'[1]2.จัดสรรหลังSK'!$E$4:$Y$98,11,FALSE)</f>
        <v>42094649.890000001</v>
      </c>
      <c r="S15" s="63">
        <f>VLOOKUP($E15,'[1]2.จัดสรรหลังSK'!$E$4:$Y$98,12,FALSE)</f>
        <v>8494403.4299999997</v>
      </c>
      <c r="T15" s="65">
        <f>IF($I$105&lt;&gt;0,ROUND(ROUND(N15*J15,4)*Q15,2),VLOOKUP($E15,'[1]2.จัดสรรหลังSK'!$E$4:$Q$98,13,FALSE))</f>
        <v>19882653.370000001</v>
      </c>
      <c r="U15" s="63">
        <f>VLOOKUP($E15,'[1]2.จัดสรรหลังSK'!$E$4:$Y$98,14,FALSE)</f>
        <v>473910.72</v>
      </c>
      <c r="V15" s="63">
        <f>VLOOKUP($E15,'[1]2.จัดสรรหลังSK'!$E$4:$Y$98,15,FALSE)</f>
        <v>0</v>
      </c>
      <c r="W15" s="67">
        <f t="shared" si="2"/>
        <v>70945617.409999996</v>
      </c>
      <c r="X15" s="67">
        <v>23569384</v>
      </c>
      <c r="Y15" s="63">
        <f t="shared" si="3"/>
        <v>47376233.409999996</v>
      </c>
      <c r="Z15" s="69">
        <v>0</v>
      </c>
      <c r="AA15" s="70">
        <f t="shared" si="4"/>
        <v>47376233.409999996</v>
      </c>
      <c r="AB15" s="67">
        <f>VLOOKUP($E15,'[1]2.จัดสรรหลังSK'!$E$4:$Y$98,21,FALSE)</f>
        <v>44025221.969999999</v>
      </c>
      <c r="AC15" s="67">
        <f t="shared" si="5"/>
        <v>3351011.44</v>
      </c>
      <c r="AD15" s="71" t="str">
        <f t="shared" si="6"/>
        <v>ผ่าน</v>
      </c>
      <c r="AE15" s="72"/>
      <c r="AF15" s="67">
        <f t="shared" si="7"/>
        <v>47376233.409999996</v>
      </c>
      <c r="AG15" s="72"/>
      <c r="AH15" s="72"/>
      <c r="AI15" s="67">
        <f t="shared" si="8"/>
        <v>0</v>
      </c>
      <c r="AJ15" s="67">
        <f t="shared" si="9"/>
        <v>47376233.409999996</v>
      </c>
      <c r="AK15" s="67">
        <f t="shared" si="10"/>
        <v>47376233.409999996</v>
      </c>
    </row>
    <row r="16" spans="1:37" ht="14.25" customHeight="1" outlineLevel="2">
      <c r="A16" s="2">
        <v>504</v>
      </c>
      <c r="B16" s="3" t="s">
        <v>6</v>
      </c>
      <c r="C16" s="3" t="s">
        <v>7</v>
      </c>
      <c r="D16" s="3" t="s">
        <v>8</v>
      </c>
      <c r="E16" s="3" t="s">
        <v>21</v>
      </c>
      <c r="F16" s="3" t="s">
        <v>22</v>
      </c>
      <c r="G16" s="3">
        <v>38</v>
      </c>
      <c r="H16" s="63">
        <v>1.25</v>
      </c>
      <c r="I16" s="64"/>
      <c r="J16" s="65">
        <f t="shared" si="0"/>
        <v>1.25</v>
      </c>
      <c r="K16" s="66">
        <v>31876</v>
      </c>
      <c r="L16" s="67">
        <f>VLOOKUP($E16,'[1]2.จัดสรรหลังSK'!$E$4:$Y$98,5,FALSE)</f>
        <v>1353.3396125611746</v>
      </c>
      <c r="M16" s="67">
        <f>VLOOKUP($E16,'[1]2.จัดสรรหลังSK'!$E$4:$Y$98,6,FALSE)</f>
        <v>273.09438825448615</v>
      </c>
      <c r="N16" s="68">
        <v>1504.6258</v>
      </c>
      <c r="O16" s="68">
        <v>23.980499999999999</v>
      </c>
      <c r="P16" s="68">
        <v>0</v>
      </c>
      <c r="Q16" s="63">
        <f t="shared" si="1"/>
        <v>6992.7660449367131</v>
      </c>
      <c r="R16" s="63">
        <f>VLOOKUP($E16,'[1]2.จัดสรรหลังSK'!$E$4:$Y$98,11,FALSE)</f>
        <v>43139053.490000002</v>
      </c>
      <c r="S16" s="63">
        <f>VLOOKUP($E16,'[1]2.จัดสรรหลังSK'!$E$4:$Y$98,12,FALSE)</f>
        <v>8705156.7200000007</v>
      </c>
      <c r="T16" s="65">
        <f>IF($I$105&lt;&gt;0,ROUND(ROUND(N16*J16,4)*Q16,2),VLOOKUP($E16,'[1]2.จัดสรรหลังSK'!$E$4:$Q$98,13,FALSE))</f>
        <v>13151870.609999999</v>
      </c>
      <c r="U16" s="63">
        <f>VLOOKUP($E16,'[1]2.จัดสรรหลังSK'!$E$4:$Y$98,14,FALSE)</f>
        <v>230212.8</v>
      </c>
      <c r="V16" s="63">
        <f>VLOOKUP($E16,'[1]2.จัดสรรหลังSK'!$E$4:$Y$98,15,FALSE)</f>
        <v>0</v>
      </c>
      <c r="W16" s="67">
        <f t="shared" si="2"/>
        <v>65226293.619999997</v>
      </c>
      <c r="X16" s="67">
        <v>23063288</v>
      </c>
      <c r="Y16" s="63">
        <f t="shared" si="3"/>
        <v>42163005.619999997</v>
      </c>
      <c r="Z16" s="69">
        <v>0</v>
      </c>
      <c r="AA16" s="70">
        <f t="shared" si="4"/>
        <v>42163005.619999997</v>
      </c>
      <c r="AB16" s="67">
        <f>VLOOKUP($E16,'[1]2.จัดสรรหลังSK'!$E$4:$Y$98,21,FALSE)</f>
        <v>38896746.530000001</v>
      </c>
      <c r="AC16" s="67">
        <f t="shared" si="5"/>
        <v>3266259.09</v>
      </c>
      <c r="AD16" s="71" t="str">
        <f t="shared" si="6"/>
        <v>ผ่าน</v>
      </c>
      <c r="AE16" s="72"/>
      <c r="AF16" s="67">
        <f t="shared" si="7"/>
        <v>42163005.619999997</v>
      </c>
      <c r="AG16" s="72"/>
      <c r="AH16" s="72"/>
      <c r="AI16" s="67">
        <f t="shared" si="8"/>
        <v>0</v>
      </c>
      <c r="AJ16" s="67">
        <f t="shared" si="9"/>
        <v>42163005.619999997</v>
      </c>
      <c r="AK16" s="67">
        <f t="shared" si="10"/>
        <v>42163005.619999997</v>
      </c>
    </row>
    <row r="17" spans="1:37" ht="14.25" customHeight="1" outlineLevel="2">
      <c r="A17" s="2">
        <v>505</v>
      </c>
      <c r="B17" s="3" t="s">
        <v>6</v>
      </c>
      <c r="C17" s="3" t="s">
        <v>7</v>
      </c>
      <c r="D17" s="3" t="s">
        <v>8</v>
      </c>
      <c r="E17" s="3" t="s">
        <v>23</v>
      </c>
      <c r="F17" s="3" t="s">
        <v>24</v>
      </c>
      <c r="G17" s="3">
        <v>32</v>
      </c>
      <c r="H17" s="63">
        <v>1.35</v>
      </c>
      <c r="I17" s="64"/>
      <c r="J17" s="65">
        <f t="shared" si="0"/>
        <v>1.35</v>
      </c>
      <c r="K17" s="66">
        <v>11279</v>
      </c>
      <c r="L17" s="67">
        <f>VLOOKUP($E17,'[1]2.จัดสรรหลังSK'!$E$4:$Y$98,5,FALSE)</f>
        <v>1570.6296692969233</v>
      </c>
      <c r="M17" s="67">
        <f>VLOOKUP($E17,'[1]2.จัดสรรหลังSK'!$E$4:$Y$98,6,FALSE)</f>
        <v>316.94198865147621</v>
      </c>
      <c r="N17" s="68">
        <v>691.48199999999997</v>
      </c>
      <c r="O17" s="68">
        <v>14.2354</v>
      </c>
      <c r="P17" s="68">
        <v>0</v>
      </c>
      <c r="Q17" s="63">
        <f t="shared" si="1"/>
        <v>6992.7660449367131</v>
      </c>
      <c r="R17" s="63">
        <f>VLOOKUP($E17,'[1]2.จัดสรรหลังSK'!$E$4:$Y$98,11,FALSE)</f>
        <v>17715132.039999999</v>
      </c>
      <c r="S17" s="63">
        <f>VLOOKUP($E17,'[1]2.จัดสรรหลังSK'!$E$4:$Y$98,12,FALSE)</f>
        <v>3574788.69</v>
      </c>
      <c r="T17" s="65">
        <f>IF($I$105&lt;&gt;0,ROUND(ROUND(N17*J17,4)*Q17,2),VLOOKUP($E17,'[1]2.จัดสรรหลังSK'!$E$4:$Q$98,13,FALSE))</f>
        <v>6527752</v>
      </c>
      <c r="U17" s="63">
        <f>VLOOKUP($E17,'[1]2.จัดสรรหลังSK'!$E$4:$Y$98,14,FALSE)</f>
        <v>136659.84</v>
      </c>
      <c r="V17" s="63">
        <f>VLOOKUP($E17,'[1]2.จัดสรรหลังSK'!$E$4:$Y$98,15,FALSE)</f>
        <v>0</v>
      </c>
      <c r="W17" s="67">
        <f t="shared" si="2"/>
        <v>27954332.57</v>
      </c>
      <c r="X17" s="67">
        <v>13481298</v>
      </c>
      <c r="Y17" s="63">
        <f t="shared" si="3"/>
        <v>14473034.57</v>
      </c>
      <c r="Z17" s="69">
        <v>4130536.64</v>
      </c>
      <c r="AA17" s="70">
        <f t="shared" si="4"/>
        <v>18603571.210000001</v>
      </c>
      <c r="AB17" s="67">
        <f>VLOOKUP($E17,'[1]2.จัดสรรหลังSK'!$E$4:$Y$98,21,FALSE)</f>
        <v>18649881.359999999</v>
      </c>
      <c r="AC17" s="67">
        <f t="shared" si="5"/>
        <v>-46310.15</v>
      </c>
      <c r="AD17" s="71" t="str">
        <f t="shared" si="6"/>
        <v>ไม่ผ่าน</v>
      </c>
      <c r="AE17" s="72"/>
      <c r="AF17" s="67">
        <f t="shared" si="7"/>
        <v>18603571.210000001</v>
      </c>
      <c r="AG17" s="72"/>
      <c r="AH17" s="72"/>
      <c r="AI17" s="67">
        <f t="shared" si="8"/>
        <v>0</v>
      </c>
      <c r="AJ17" s="67">
        <f t="shared" si="9"/>
        <v>18603571.210000001</v>
      </c>
      <c r="AK17" s="67">
        <f t="shared" si="10"/>
        <v>18603571.210000001</v>
      </c>
    </row>
    <row r="18" spans="1:37" ht="14.25" customHeight="1" outlineLevel="1">
      <c r="A18" s="4"/>
      <c r="B18" s="5"/>
      <c r="C18" s="73"/>
      <c r="D18" s="6" t="s">
        <v>25</v>
      </c>
      <c r="E18" s="5"/>
      <c r="F18" s="5"/>
      <c r="G18" s="5"/>
      <c r="H18" s="74"/>
      <c r="I18" s="75"/>
      <c r="J18" s="76"/>
      <c r="K18" s="77">
        <f>SUBTOTAL(9,K10:K17)</f>
        <v>326293</v>
      </c>
      <c r="L18" s="78"/>
      <c r="M18" s="78"/>
      <c r="N18" s="79">
        <f t="shared" ref="N18:AC18" si="11">SUBTOTAL(9,N10:N17)</f>
        <v>32900.746899999998</v>
      </c>
      <c r="O18" s="79">
        <f t="shared" si="11"/>
        <v>733.59119999999996</v>
      </c>
      <c r="P18" s="79">
        <f t="shared" si="11"/>
        <v>393.76389999999998</v>
      </c>
      <c r="Q18" s="74"/>
      <c r="R18" s="74">
        <f t="shared" si="11"/>
        <v>404080155.23000002</v>
      </c>
      <c r="S18" s="74">
        <f t="shared" si="11"/>
        <v>81540525.150000006</v>
      </c>
      <c r="T18" s="76">
        <f t="shared" si="11"/>
        <v>266919949.66000003</v>
      </c>
      <c r="U18" s="74">
        <f t="shared" si="11"/>
        <v>7042475.5200000005</v>
      </c>
      <c r="V18" s="74">
        <f t="shared" si="11"/>
        <v>3543875.1</v>
      </c>
      <c r="W18" s="78">
        <f t="shared" si="11"/>
        <v>763126980.66000009</v>
      </c>
      <c r="X18" s="78">
        <f t="shared" si="11"/>
        <v>279888962</v>
      </c>
      <c r="Y18" s="74">
        <f t="shared" si="11"/>
        <v>483238018.66000003</v>
      </c>
      <c r="Z18" s="74">
        <f t="shared" si="11"/>
        <v>4130536.64</v>
      </c>
      <c r="AA18" s="80">
        <f t="shared" si="11"/>
        <v>487368555.30000001</v>
      </c>
      <c r="AB18" s="78">
        <f t="shared" si="11"/>
        <v>437909559.75</v>
      </c>
      <c r="AC18" s="78">
        <f t="shared" si="11"/>
        <v>49458995.550000004</v>
      </c>
      <c r="AD18" s="81"/>
      <c r="AE18" s="82">
        <f t="shared" ref="AE18:AK18" si="12">SUBTOTAL(9,AE10:AE17)</f>
        <v>0</v>
      </c>
      <c r="AF18" s="78">
        <f t="shared" si="12"/>
        <v>487368555.30000001</v>
      </c>
      <c r="AG18" s="82">
        <f t="shared" si="12"/>
        <v>0</v>
      </c>
      <c r="AH18" s="82">
        <f t="shared" si="12"/>
        <v>0</v>
      </c>
      <c r="AI18" s="78">
        <f t="shared" si="12"/>
        <v>0</v>
      </c>
      <c r="AJ18" s="78">
        <f t="shared" si="12"/>
        <v>487368555.30000001</v>
      </c>
      <c r="AK18" s="78">
        <f t="shared" si="12"/>
        <v>487368555.30000001</v>
      </c>
    </row>
    <row r="19" spans="1:37" ht="14.25" customHeight="1" outlineLevel="2">
      <c r="A19" s="51">
        <v>506</v>
      </c>
      <c r="B19" s="52" t="s">
        <v>6</v>
      </c>
      <c r="C19" s="3" t="s">
        <v>26</v>
      </c>
      <c r="D19" s="52" t="s">
        <v>27</v>
      </c>
      <c r="E19" s="52" t="s">
        <v>28</v>
      </c>
      <c r="F19" s="52" t="s">
        <v>29</v>
      </c>
      <c r="G19" s="52">
        <v>352</v>
      </c>
      <c r="H19" s="53">
        <v>1.1000000000000001</v>
      </c>
      <c r="I19" s="54"/>
      <c r="J19" s="55">
        <f t="shared" si="0"/>
        <v>1.1000000000000001</v>
      </c>
      <c r="K19" s="56">
        <v>100640</v>
      </c>
      <c r="L19" s="57">
        <f>VLOOKUP($E19,'[1]2.จัดสรรหลังSK'!$E$4:$Y$98,5,FALSE)</f>
        <v>1050.7489997019077</v>
      </c>
      <c r="M19" s="57">
        <f>VLOOKUP($E19,'[1]2.จัดสรรหลังSK'!$E$4:$Y$98,6,FALSE)</f>
        <v>204.59968630763115</v>
      </c>
      <c r="N19" s="58">
        <v>22667</v>
      </c>
      <c r="O19" s="58">
        <v>595.24159999999995</v>
      </c>
      <c r="P19" s="58">
        <v>852.57910000000004</v>
      </c>
      <c r="Q19" s="53">
        <f t="shared" si="1"/>
        <v>6992.7660449367131</v>
      </c>
      <c r="R19" s="53">
        <f>VLOOKUP($E19,'[1]2.จัดสรรหลังSK'!$E$4:$Y$98,11,FALSE)</f>
        <v>105747379.33</v>
      </c>
      <c r="S19" s="53">
        <f>VLOOKUP($E19,'[1]2.จัดสรรหลังSK'!$E$4:$Y$98,12,FALSE)</f>
        <v>20590912.43</v>
      </c>
      <c r="T19" s="55">
        <f>IF($I$105&lt;&gt;0,ROUND(ROUND(N19*J19,4)*Q19,2),VLOOKUP($E19,'[1]2.จัดสรรหลังSK'!$E$4:$Q$98,13,FALSE))</f>
        <v>174355530.72999999</v>
      </c>
      <c r="U19" s="53">
        <f>VLOOKUP($E19,'[1]2.จัดสรรหลังSK'!$E$4:$Y$98,14,FALSE)</f>
        <v>5714319.3600000003</v>
      </c>
      <c r="V19" s="53">
        <f>VLOOKUP($E19,'[1]2.จัดสรรหลังSK'!$E$4:$Y$98,15,FALSE)</f>
        <v>7673211.9000000004</v>
      </c>
      <c r="W19" s="57">
        <f t="shared" ref="W19:W24" si="13">SUM(R19:V19)</f>
        <v>314081353.75</v>
      </c>
      <c r="X19" s="57">
        <v>150118533</v>
      </c>
      <c r="Y19" s="53">
        <f t="shared" ref="Y19:Y24" si="14">ROUND(W19-X19,2)</f>
        <v>163962820.75</v>
      </c>
      <c r="Z19" s="59">
        <v>0</v>
      </c>
      <c r="AA19" s="60">
        <f t="shared" ref="AA19:AA24" si="15">ROUND(Y19+Z19,2)</f>
        <v>163962820.75</v>
      </c>
      <c r="AB19" s="57">
        <f>VLOOKUP($E19,'[1]2.จัดสรรหลังSK'!$E$4:$Y$98,21,FALSE)</f>
        <v>148731292.12</v>
      </c>
      <c r="AC19" s="57">
        <f t="shared" ref="AC19:AC24" si="16">ROUND(AA19-AB19,2)</f>
        <v>15231528.630000001</v>
      </c>
      <c r="AD19" s="61" t="str">
        <f t="shared" ref="AD19:AD24" si="17">IF(AA19&gt;=AB19,"ผ่าน","ไม่ผ่าน")</f>
        <v>ผ่าน</v>
      </c>
      <c r="AE19" s="62"/>
      <c r="AF19" s="57">
        <f t="shared" ref="AF19:AF24" si="18">ROUND(AA19+AE19,2)</f>
        <v>163962820.75</v>
      </c>
      <c r="AG19" s="62"/>
      <c r="AH19" s="62"/>
      <c r="AI19" s="57">
        <f t="shared" ref="AI19:AI24" si="19">ROUND(AG19+AH19,2)</f>
        <v>0</v>
      </c>
      <c r="AJ19" s="57">
        <f t="shared" ref="AJ19:AJ24" si="20">ROUND(AA19-AI19,2)</f>
        <v>163962820.75</v>
      </c>
      <c r="AK19" s="57">
        <f t="shared" ref="AK19:AK24" si="21">ROUND(AF19-AI19,2)</f>
        <v>163962820.75</v>
      </c>
    </row>
    <row r="20" spans="1:37" ht="14.25" customHeight="1" outlineLevel="2">
      <c r="A20" s="2">
        <v>507</v>
      </c>
      <c r="B20" s="3" t="s">
        <v>6</v>
      </c>
      <c r="C20" s="3" t="s">
        <v>26</v>
      </c>
      <c r="D20" s="3" t="s">
        <v>27</v>
      </c>
      <c r="E20" s="3" t="s">
        <v>30</v>
      </c>
      <c r="F20" s="3" t="s">
        <v>31</v>
      </c>
      <c r="G20" s="3">
        <v>78</v>
      </c>
      <c r="H20" s="63">
        <v>1.1000000000000001</v>
      </c>
      <c r="I20" s="64">
        <v>1.1499999999999999</v>
      </c>
      <c r="J20" s="65">
        <f t="shared" si="0"/>
        <v>1.1499999999999999</v>
      </c>
      <c r="K20" s="66">
        <v>69726</v>
      </c>
      <c r="L20" s="67">
        <f>VLOOKUP($E20,'[1]2.จัดสรรหลังSK'!$E$4:$Y$98,5,FALSE)</f>
        <v>1152.3980063390989</v>
      </c>
      <c r="M20" s="67">
        <f>VLOOKUP($E20,'[1]2.จัดสรรหลังSK'!$E$4:$Y$98,6,FALSE)</f>
        <v>224.39257192438976</v>
      </c>
      <c r="N20" s="68">
        <v>3318.1509999999998</v>
      </c>
      <c r="O20" s="68">
        <v>94.749399999999994</v>
      </c>
      <c r="P20" s="68">
        <v>0</v>
      </c>
      <c r="Q20" s="63">
        <f t="shared" si="1"/>
        <v>6992.7660449367131</v>
      </c>
      <c r="R20" s="63">
        <f>VLOOKUP($E20,'[1]2.จัดสรรหลังSK'!$E$4:$Y$98,11,FALSE)</f>
        <v>80352103.390000001</v>
      </c>
      <c r="S20" s="63">
        <f>VLOOKUP($E20,'[1]2.จัดสรรหลังSK'!$E$4:$Y$98,12,FALSE)</f>
        <v>15645996.470000001</v>
      </c>
      <c r="T20" s="65">
        <f>IF($I$105&lt;&gt;0,ROUND(ROUND(N20*J20,4)*Q20,2),VLOOKUP($E20,'[1]2.จัดสรรหลังSK'!$E$4:$Q$98,13,FALSE))</f>
        <v>26683512.039999999</v>
      </c>
      <c r="U20" s="63">
        <f>VLOOKUP($E20,'[1]2.จัดสรรหลังSK'!$E$4:$Y$98,14,FALSE)</f>
        <v>909594.24</v>
      </c>
      <c r="V20" s="63">
        <f>VLOOKUP($E20,'[1]2.จัดสรรหลังSK'!$E$4:$Y$98,15,FALSE)</f>
        <v>0</v>
      </c>
      <c r="W20" s="67">
        <f t="shared" si="13"/>
        <v>123591206.14</v>
      </c>
      <c r="X20" s="67">
        <v>45193575</v>
      </c>
      <c r="Y20" s="63">
        <f t="shared" si="14"/>
        <v>78397631.140000001</v>
      </c>
      <c r="Z20" s="69">
        <v>0</v>
      </c>
      <c r="AA20" s="70">
        <f t="shared" si="15"/>
        <v>78397631.140000001</v>
      </c>
      <c r="AB20" s="67">
        <f>VLOOKUP($E20,'[1]2.จัดสรรหลังSK'!$E$4:$Y$98,21,FALSE)</f>
        <v>64376825.770000003</v>
      </c>
      <c r="AC20" s="67">
        <f t="shared" si="16"/>
        <v>14020805.369999999</v>
      </c>
      <c r="AD20" s="71" t="str">
        <f t="shared" si="17"/>
        <v>ผ่าน</v>
      </c>
      <c r="AE20" s="72"/>
      <c r="AF20" s="67">
        <f t="shared" si="18"/>
        <v>78397631.140000001</v>
      </c>
      <c r="AG20" s="72"/>
      <c r="AH20" s="72"/>
      <c r="AI20" s="67">
        <f t="shared" si="19"/>
        <v>0</v>
      </c>
      <c r="AJ20" s="67">
        <f t="shared" si="20"/>
        <v>78397631.140000001</v>
      </c>
      <c r="AK20" s="67">
        <f t="shared" si="21"/>
        <v>78397631.140000001</v>
      </c>
    </row>
    <row r="21" spans="1:37" ht="14.25" customHeight="1" outlineLevel="2">
      <c r="A21" s="2">
        <v>508</v>
      </c>
      <c r="B21" s="3" t="s">
        <v>6</v>
      </c>
      <c r="C21" s="3" t="s">
        <v>26</v>
      </c>
      <c r="D21" s="3" t="s">
        <v>27</v>
      </c>
      <c r="E21" s="3" t="s">
        <v>32</v>
      </c>
      <c r="F21" s="3" t="s">
        <v>33</v>
      </c>
      <c r="G21" s="3">
        <v>40</v>
      </c>
      <c r="H21" s="63">
        <v>1.2</v>
      </c>
      <c r="I21" s="64"/>
      <c r="J21" s="65">
        <f t="shared" si="0"/>
        <v>1.2</v>
      </c>
      <c r="K21" s="66">
        <v>47182</v>
      </c>
      <c r="L21" s="67">
        <f>VLOOKUP($E21,'[1]2.จัดสรรหลังSK'!$E$4:$Y$98,5,FALSE)</f>
        <v>1286.049063625959</v>
      </c>
      <c r="M21" s="67">
        <f>VLOOKUP($E21,'[1]2.จัดสรรหลังSK'!$E$4:$Y$98,6,FALSE)</f>
        <v>250.41683120681614</v>
      </c>
      <c r="N21" s="68">
        <v>1847.4011</v>
      </c>
      <c r="O21" s="68">
        <v>44.162300000000002</v>
      </c>
      <c r="P21" s="68">
        <v>0</v>
      </c>
      <c r="Q21" s="63">
        <f t="shared" si="1"/>
        <v>6992.7660449367131</v>
      </c>
      <c r="R21" s="63">
        <f>VLOOKUP($E21,'[1]2.จัดสรรหลังSK'!$E$4:$Y$98,11,FALSE)</f>
        <v>60678366.920000002</v>
      </c>
      <c r="S21" s="63">
        <f>VLOOKUP($E21,'[1]2.จัดสรรหลังSK'!$E$4:$Y$98,12,FALSE)</f>
        <v>11815166.93</v>
      </c>
      <c r="T21" s="65">
        <f>IF($I$105&lt;&gt;0,ROUND(ROUND(N21*J21,4)*Q21,2),VLOOKUP($E21,'[1]2.จัดสรรหลังSK'!$E$4:$Q$98,13,FALSE))</f>
        <v>15502132.279999999</v>
      </c>
      <c r="U21" s="63">
        <f>VLOOKUP($E21,'[1]2.จัดสรรหลังSK'!$E$4:$Y$98,14,FALSE)</f>
        <v>423958.08</v>
      </c>
      <c r="V21" s="63">
        <f>VLOOKUP($E21,'[1]2.จัดสรรหลังSK'!$E$4:$Y$98,15,FALSE)</f>
        <v>0</v>
      </c>
      <c r="W21" s="67">
        <f t="shared" si="13"/>
        <v>88419624.209999993</v>
      </c>
      <c r="X21" s="67">
        <v>34357141</v>
      </c>
      <c r="Y21" s="63">
        <f t="shared" si="14"/>
        <v>54062483.210000001</v>
      </c>
      <c r="Z21" s="69">
        <v>0</v>
      </c>
      <c r="AA21" s="70">
        <f t="shared" si="15"/>
        <v>54062483.210000001</v>
      </c>
      <c r="AB21" s="67">
        <f>VLOOKUP($E21,'[1]2.จัดสรรหลังSK'!$E$4:$Y$98,21,FALSE)</f>
        <v>46424601.329999998</v>
      </c>
      <c r="AC21" s="67">
        <f t="shared" si="16"/>
        <v>7637881.8799999999</v>
      </c>
      <c r="AD21" s="71" t="str">
        <f t="shared" si="17"/>
        <v>ผ่าน</v>
      </c>
      <c r="AE21" s="72"/>
      <c r="AF21" s="67">
        <f t="shared" si="18"/>
        <v>54062483.210000001</v>
      </c>
      <c r="AG21" s="72"/>
      <c r="AH21" s="72"/>
      <c r="AI21" s="67">
        <f t="shared" si="19"/>
        <v>0</v>
      </c>
      <c r="AJ21" s="67">
        <f t="shared" si="20"/>
        <v>54062483.210000001</v>
      </c>
      <c r="AK21" s="67">
        <f t="shared" si="21"/>
        <v>54062483.210000001</v>
      </c>
    </row>
    <row r="22" spans="1:37" ht="14.25" customHeight="1" outlineLevel="2">
      <c r="A22" s="2">
        <v>509</v>
      </c>
      <c r="B22" s="3" t="s">
        <v>6</v>
      </c>
      <c r="C22" s="3" t="s">
        <v>26</v>
      </c>
      <c r="D22" s="3" t="s">
        <v>27</v>
      </c>
      <c r="E22" s="3" t="s">
        <v>34</v>
      </c>
      <c r="F22" s="3" t="s">
        <v>35</v>
      </c>
      <c r="G22" s="3">
        <v>90</v>
      </c>
      <c r="H22" s="63">
        <v>1.1000000000000001</v>
      </c>
      <c r="I22" s="64">
        <v>1.1499999999999999</v>
      </c>
      <c r="J22" s="65">
        <f t="shared" si="0"/>
        <v>1.1499999999999999</v>
      </c>
      <c r="K22" s="66">
        <v>82587</v>
      </c>
      <c r="L22" s="67">
        <f>VLOOKUP($E22,'[1]2.จัดสรรหลังSK'!$E$4:$Y$98,5,FALSE)</f>
        <v>1103.2255723055687</v>
      </c>
      <c r="M22" s="67">
        <f>VLOOKUP($E22,'[1]2.จัดสรรหลังSK'!$E$4:$Y$98,6,FALSE)</f>
        <v>214.81781672660347</v>
      </c>
      <c r="N22" s="68">
        <v>4798.1688999999997</v>
      </c>
      <c r="O22" s="68">
        <v>221.82910000000001</v>
      </c>
      <c r="P22" s="68">
        <v>0</v>
      </c>
      <c r="Q22" s="63">
        <f t="shared" si="1"/>
        <v>6992.7660449367131</v>
      </c>
      <c r="R22" s="63">
        <f>VLOOKUP($E22,'[1]2.จัดสรรหลังSK'!$E$4:$Y$98,11,FALSE)</f>
        <v>91112090.340000004</v>
      </c>
      <c r="S22" s="63">
        <f>VLOOKUP($E22,'[1]2.จัดสรรหลังSK'!$E$4:$Y$98,12,FALSE)</f>
        <v>17741159.030000001</v>
      </c>
      <c r="T22" s="65">
        <f>IF($I$105&lt;&gt;0,ROUND(ROUND(N22*J22,4)*Q22,2),VLOOKUP($E22,'[1]2.จัดสรรหลังSK'!$E$4:$Q$98,13,FALSE))</f>
        <v>38585343.200000003</v>
      </c>
      <c r="U22" s="63">
        <f>VLOOKUP($E22,'[1]2.จัดสรรหลังSK'!$E$4:$Y$98,14,FALSE)</f>
        <v>2129559.36</v>
      </c>
      <c r="V22" s="63">
        <f>VLOOKUP($E22,'[1]2.จัดสรรหลังSK'!$E$4:$Y$98,15,FALSE)</f>
        <v>0</v>
      </c>
      <c r="W22" s="67">
        <f t="shared" si="13"/>
        <v>149568151.93000001</v>
      </c>
      <c r="X22" s="67">
        <v>53633607</v>
      </c>
      <c r="Y22" s="63">
        <f t="shared" si="14"/>
        <v>95934544.930000007</v>
      </c>
      <c r="Z22" s="69">
        <v>0</v>
      </c>
      <c r="AA22" s="70">
        <f t="shared" si="15"/>
        <v>95934544.930000007</v>
      </c>
      <c r="AB22" s="67">
        <f>VLOOKUP($E22,'[1]2.จัดสรรหลังSK'!$E$4:$Y$98,21,FALSE)</f>
        <v>85023250.370000005</v>
      </c>
      <c r="AC22" s="67">
        <f t="shared" si="16"/>
        <v>10911294.560000001</v>
      </c>
      <c r="AD22" s="71" t="str">
        <f t="shared" si="17"/>
        <v>ผ่าน</v>
      </c>
      <c r="AE22" s="72"/>
      <c r="AF22" s="67">
        <f t="shared" si="18"/>
        <v>95934544.930000007</v>
      </c>
      <c r="AG22" s="72"/>
      <c r="AH22" s="72"/>
      <c r="AI22" s="67">
        <f t="shared" si="19"/>
        <v>0</v>
      </c>
      <c r="AJ22" s="67">
        <f t="shared" si="20"/>
        <v>95934544.930000007</v>
      </c>
      <c r="AK22" s="67">
        <f t="shared" si="21"/>
        <v>95934544.930000007</v>
      </c>
    </row>
    <row r="23" spans="1:37" ht="14.25" customHeight="1" outlineLevel="2">
      <c r="A23" s="2">
        <v>510</v>
      </c>
      <c r="B23" s="3" t="s">
        <v>6</v>
      </c>
      <c r="C23" s="3" t="s">
        <v>26</v>
      </c>
      <c r="D23" s="3" t="s">
        <v>27</v>
      </c>
      <c r="E23" s="3" t="s">
        <v>36</v>
      </c>
      <c r="F23" s="3" t="s">
        <v>37</v>
      </c>
      <c r="G23" s="3">
        <v>40</v>
      </c>
      <c r="H23" s="63">
        <v>1.1499999999999999</v>
      </c>
      <c r="I23" s="64">
        <v>1.2</v>
      </c>
      <c r="J23" s="65">
        <f t="shared" si="0"/>
        <v>1.2</v>
      </c>
      <c r="K23" s="66">
        <v>53672</v>
      </c>
      <c r="L23" s="67">
        <f>VLOOKUP($E23,'[1]2.จัดสรรหลังSK'!$E$4:$Y$98,5,FALSE)</f>
        <v>1241.6546942539871</v>
      </c>
      <c r="M23" s="67">
        <f>VLOOKUP($E23,'[1]2.จัดสรรหลังSK'!$E$4:$Y$98,6,FALSE)</f>
        <v>241.77245081234165</v>
      </c>
      <c r="N23" s="68">
        <v>2332.6136000000001</v>
      </c>
      <c r="O23" s="68">
        <v>53.698</v>
      </c>
      <c r="P23" s="68">
        <v>0</v>
      </c>
      <c r="Q23" s="63">
        <f t="shared" si="1"/>
        <v>6992.7660449367131</v>
      </c>
      <c r="R23" s="63">
        <f>VLOOKUP($E23,'[1]2.จัดสรรหลังSK'!$E$4:$Y$98,11,FALSE)</f>
        <v>66642090.75</v>
      </c>
      <c r="S23" s="63">
        <f>VLOOKUP($E23,'[1]2.จัดสรรหลังSK'!$E$4:$Y$98,12,FALSE)</f>
        <v>12976410.98</v>
      </c>
      <c r="T23" s="65">
        <f>IF($I$105&lt;&gt;0,ROUND(ROUND(N23*J23,4)*Q23,2),VLOOKUP($E23,'[1]2.จัดสรรหลังSK'!$E$4:$Q$98,13,FALSE))</f>
        <v>19573705.27</v>
      </c>
      <c r="U23" s="63">
        <f>VLOOKUP($E23,'[1]2.จัดสรรหลังSK'!$E$4:$Y$98,14,FALSE)</f>
        <v>515500.79999999999</v>
      </c>
      <c r="V23" s="63">
        <f>VLOOKUP($E23,'[1]2.จัดสรรหลังSK'!$E$4:$Y$98,15,FALSE)</f>
        <v>0</v>
      </c>
      <c r="W23" s="67">
        <f t="shared" si="13"/>
        <v>99707707.799999997</v>
      </c>
      <c r="X23" s="67">
        <v>34616842</v>
      </c>
      <c r="Y23" s="63">
        <f t="shared" si="14"/>
        <v>65090865.799999997</v>
      </c>
      <c r="Z23" s="69">
        <v>0</v>
      </c>
      <c r="AA23" s="70">
        <f t="shared" si="15"/>
        <v>65090865.799999997</v>
      </c>
      <c r="AB23" s="67">
        <f>VLOOKUP($E23,'[1]2.จัดสรรหลังSK'!$E$4:$Y$98,21,FALSE)</f>
        <v>58561726.520000003</v>
      </c>
      <c r="AC23" s="67">
        <f t="shared" si="16"/>
        <v>6529139.2800000003</v>
      </c>
      <c r="AD23" s="71" t="str">
        <f t="shared" si="17"/>
        <v>ผ่าน</v>
      </c>
      <c r="AE23" s="72"/>
      <c r="AF23" s="67">
        <f t="shared" si="18"/>
        <v>65090865.799999997</v>
      </c>
      <c r="AG23" s="72"/>
      <c r="AH23" s="72"/>
      <c r="AI23" s="67">
        <f t="shared" si="19"/>
        <v>0</v>
      </c>
      <c r="AJ23" s="67">
        <f t="shared" si="20"/>
        <v>65090865.799999997</v>
      </c>
      <c r="AK23" s="67">
        <f t="shared" si="21"/>
        <v>65090865.799999997</v>
      </c>
    </row>
    <row r="24" spans="1:37" ht="14.25" customHeight="1" outlineLevel="2">
      <c r="A24" s="2">
        <v>511</v>
      </c>
      <c r="B24" s="3" t="s">
        <v>6</v>
      </c>
      <c r="C24" s="3" t="s">
        <v>26</v>
      </c>
      <c r="D24" s="3" t="s">
        <v>27</v>
      </c>
      <c r="E24" s="3" t="s">
        <v>38</v>
      </c>
      <c r="F24" s="3" t="s">
        <v>39</v>
      </c>
      <c r="G24" s="3">
        <v>46</v>
      </c>
      <c r="H24" s="63">
        <v>1.3</v>
      </c>
      <c r="I24" s="64"/>
      <c r="J24" s="65">
        <f t="shared" si="0"/>
        <v>1.3</v>
      </c>
      <c r="K24" s="66">
        <v>29031</v>
      </c>
      <c r="L24" s="67">
        <f>VLOOKUP($E24,'[1]2.จัดสรรหลังSK'!$E$4:$Y$98,5,FALSE)</f>
        <v>1445.2871857669388</v>
      </c>
      <c r="M24" s="67">
        <f>VLOOKUP($E24,'[1]2.จัดสรรหลังSK'!$E$4:$Y$98,6,FALSE)</f>
        <v>281.4233512452206</v>
      </c>
      <c r="N24" s="68">
        <v>1602.3444</v>
      </c>
      <c r="O24" s="68">
        <v>22.819800000000001</v>
      </c>
      <c r="P24" s="68">
        <v>0</v>
      </c>
      <c r="Q24" s="63">
        <f t="shared" si="1"/>
        <v>6992.7660449367131</v>
      </c>
      <c r="R24" s="63">
        <f>VLOOKUP($E24,'[1]2.จัดสรรหลังSK'!$E$4:$Y$98,11,FALSE)</f>
        <v>41958132.289999999</v>
      </c>
      <c r="S24" s="63">
        <f>VLOOKUP($E24,'[1]2.จัดสรรหลังSK'!$E$4:$Y$98,12,FALSE)</f>
        <v>8170001.3099999996</v>
      </c>
      <c r="T24" s="65">
        <f>IF($I$105&lt;&gt;0,ROUND(ROUND(N24*J24,4)*Q24,2),VLOOKUP($E24,'[1]2.จัดสรรหลังSK'!$E$4:$Q$98,13,FALSE))</f>
        <v>14566265.23</v>
      </c>
      <c r="U24" s="63">
        <f>VLOOKUP($E24,'[1]2.จัดสรรหลังSK'!$E$4:$Y$98,14,FALSE)</f>
        <v>219070.07999999999</v>
      </c>
      <c r="V24" s="63">
        <f>VLOOKUP($E24,'[1]2.จัดสรรหลังSK'!$E$4:$Y$98,15,FALSE)</f>
        <v>0</v>
      </c>
      <c r="W24" s="67">
        <f t="shared" si="13"/>
        <v>64913468.909999996</v>
      </c>
      <c r="X24" s="67">
        <v>18922497</v>
      </c>
      <c r="Y24" s="63">
        <f t="shared" si="14"/>
        <v>45990971.909999996</v>
      </c>
      <c r="Z24" s="69">
        <v>0</v>
      </c>
      <c r="AA24" s="70">
        <f t="shared" si="15"/>
        <v>45990971.909999996</v>
      </c>
      <c r="AB24" s="67">
        <f>VLOOKUP($E24,'[1]2.จัดสรรหลังSK'!$E$4:$Y$98,21,FALSE)</f>
        <v>37703472.600000001</v>
      </c>
      <c r="AC24" s="67">
        <f t="shared" si="16"/>
        <v>8287499.3099999996</v>
      </c>
      <c r="AD24" s="71" t="str">
        <f t="shared" si="17"/>
        <v>ผ่าน</v>
      </c>
      <c r="AE24" s="72"/>
      <c r="AF24" s="67">
        <f t="shared" si="18"/>
        <v>45990971.909999996</v>
      </c>
      <c r="AG24" s="72"/>
      <c r="AH24" s="72"/>
      <c r="AI24" s="67">
        <f t="shared" si="19"/>
        <v>0</v>
      </c>
      <c r="AJ24" s="67">
        <f t="shared" si="20"/>
        <v>45990971.909999996</v>
      </c>
      <c r="AK24" s="67">
        <f t="shared" si="21"/>
        <v>45990971.909999996</v>
      </c>
    </row>
    <row r="25" spans="1:37" ht="14.25" customHeight="1" outlineLevel="1">
      <c r="A25" s="4"/>
      <c r="B25" s="5"/>
      <c r="C25" s="73"/>
      <c r="D25" s="6" t="s">
        <v>40</v>
      </c>
      <c r="E25" s="5"/>
      <c r="F25" s="5"/>
      <c r="G25" s="5"/>
      <c r="H25" s="74"/>
      <c r="I25" s="75"/>
      <c r="J25" s="76"/>
      <c r="K25" s="77">
        <f>SUBTOTAL(9,K19:K24)</f>
        <v>382838</v>
      </c>
      <c r="L25" s="78"/>
      <c r="M25" s="78"/>
      <c r="N25" s="79">
        <f t="shared" ref="N25:AC25" si="22">SUBTOTAL(9,N19:N24)</f>
        <v>36565.678999999996</v>
      </c>
      <c r="O25" s="79">
        <f t="shared" si="22"/>
        <v>1032.5001999999999</v>
      </c>
      <c r="P25" s="79">
        <f t="shared" si="22"/>
        <v>852.57910000000004</v>
      </c>
      <c r="Q25" s="74"/>
      <c r="R25" s="74">
        <f t="shared" si="22"/>
        <v>446490163.02000004</v>
      </c>
      <c r="S25" s="74">
        <f t="shared" si="22"/>
        <v>86939647.150000006</v>
      </c>
      <c r="T25" s="76">
        <f t="shared" si="22"/>
        <v>289266488.75</v>
      </c>
      <c r="U25" s="74">
        <f t="shared" si="22"/>
        <v>9912001.9200000018</v>
      </c>
      <c r="V25" s="74">
        <f t="shared" si="22"/>
        <v>7673211.9000000004</v>
      </c>
      <c r="W25" s="78">
        <f t="shared" si="22"/>
        <v>840281512.73999989</v>
      </c>
      <c r="X25" s="78">
        <f t="shared" si="22"/>
        <v>336842195</v>
      </c>
      <c r="Y25" s="74">
        <f t="shared" si="22"/>
        <v>503439317.74000001</v>
      </c>
      <c r="Z25" s="74">
        <f t="shared" si="22"/>
        <v>0</v>
      </c>
      <c r="AA25" s="80">
        <f t="shared" si="22"/>
        <v>503439317.74000001</v>
      </c>
      <c r="AB25" s="78">
        <f t="shared" si="22"/>
        <v>440821168.71000004</v>
      </c>
      <c r="AC25" s="78">
        <f t="shared" si="22"/>
        <v>62618149.030000009</v>
      </c>
      <c r="AD25" s="81"/>
      <c r="AE25" s="82">
        <f t="shared" ref="AE25:AK25" si="23">SUBTOTAL(9,AE19:AE24)</f>
        <v>0</v>
      </c>
      <c r="AF25" s="78">
        <f t="shared" si="23"/>
        <v>503439317.74000001</v>
      </c>
      <c r="AG25" s="82">
        <f t="shared" si="23"/>
        <v>0</v>
      </c>
      <c r="AH25" s="82">
        <f t="shared" si="23"/>
        <v>0</v>
      </c>
      <c r="AI25" s="78">
        <f t="shared" si="23"/>
        <v>0</v>
      </c>
      <c r="AJ25" s="78">
        <f t="shared" si="23"/>
        <v>503439317.74000001</v>
      </c>
      <c r="AK25" s="78">
        <f t="shared" si="23"/>
        <v>503439317.74000001</v>
      </c>
    </row>
    <row r="26" spans="1:37" ht="14.25" customHeight="1" outlineLevel="2">
      <c r="A26" s="51">
        <v>512</v>
      </c>
      <c r="B26" s="52" t="s">
        <v>6</v>
      </c>
      <c r="C26" s="3" t="s">
        <v>41</v>
      </c>
      <c r="D26" s="52" t="s">
        <v>42</v>
      </c>
      <c r="E26" s="52" t="s">
        <v>43</v>
      </c>
      <c r="F26" s="52" t="s">
        <v>44</v>
      </c>
      <c r="G26" s="52">
        <v>1228</v>
      </c>
      <c r="H26" s="53">
        <v>1</v>
      </c>
      <c r="I26" s="54"/>
      <c r="J26" s="55">
        <f t="shared" si="0"/>
        <v>1</v>
      </c>
      <c r="K26" s="56">
        <v>259511</v>
      </c>
      <c r="L26" s="57">
        <f>VLOOKUP($E26,'[1]2.จัดสรรหลังSK'!$E$4:$Y$98,5,FALSE)</f>
        <v>839.02528393786781</v>
      </c>
      <c r="M26" s="57">
        <f>VLOOKUP($E26,'[1]2.จัดสรรหลังSK'!$E$4:$Y$98,6,FALSE)</f>
        <v>165.69041682240828</v>
      </c>
      <c r="N26" s="58">
        <v>118240.8075</v>
      </c>
      <c r="O26" s="58">
        <v>2770.3712999999998</v>
      </c>
      <c r="P26" s="58">
        <v>3014.2811000000002</v>
      </c>
      <c r="Q26" s="53">
        <f t="shared" si="1"/>
        <v>6992.7660449367131</v>
      </c>
      <c r="R26" s="53">
        <f>VLOOKUP($E26,'[1]2.จัดสรรหลังSK'!$E$4:$Y$98,11,FALSE)</f>
        <v>217736290.46000001</v>
      </c>
      <c r="S26" s="53">
        <f>VLOOKUP($E26,'[1]2.จัดสรรหลังSK'!$E$4:$Y$98,12,FALSE)</f>
        <v>42998485.759999998</v>
      </c>
      <c r="T26" s="55">
        <f>IF($I$105&lt;&gt;0,ROUND(ROUND(N26*J26,4)*Q26,2),VLOOKUP($E26,'[1]2.จัดสรรหลังSK'!$E$4:$Q$98,13,FALSE))</f>
        <v>826830303.80999994</v>
      </c>
      <c r="U26" s="53">
        <f>VLOOKUP($E26,'[1]2.จัดสรรหลังSK'!$E$4:$Y$98,14,FALSE)</f>
        <v>26595564.48</v>
      </c>
      <c r="V26" s="53">
        <f>VLOOKUP($E26,'[1]2.จัดสรรหลังSK'!$E$4:$Y$98,15,FALSE)</f>
        <v>27128529.899999999</v>
      </c>
      <c r="W26" s="57">
        <f t="shared" ref="W26:W46" si="24">SUM(R26:V26)</f>
        <v>1141289174.4100001</v>
      </c>
      <c r="X26" s="57">
        <v>508411227</v>
      </c>
      <c r="Y26" s="53">
        <f t="shared" ref="Y26:Y46" si="25">ROUND(W26-X26,2)</f>
        <v>632877947.40999997</v>
      </c>
      <c r="Z26" s="59">
        <v>0</v>
      </c>
      <c r="AA26" s="60">
        <f t="shared" ref="AA26:AA46" si="26">ROUND(Y26+Z26,2)</f>
        <v>632877947.40999997</v>
      </c>
      <c r="AB26" s="57">
        <f>VLOOKUP($E26,'[1]2.จัดสรรหลังSK'!$E$4:$Y$98,21,FALSE)</f>
        <v>621073047.52999997</v>
      </c>
      <c r="AC26" s="57">
        <f t="shared" ref="AC26:AC46" si="27">ROUND(AA26-AB26,2)</f>
        <v>11804899.880000001</v>
      </c>
      <c r="AD26" s="61" t="str">
        <f t="shared" ref="AD26:AD46" si="28">IF(AA26&gt;=AB26,"ผ่าน","ไม่ผ่าน")</f>
        <v>ผ่าน</v>
      </c>
      <c r="AE26" s="62"/>
      <c r="AF26" s="57">
        <f t="shared" ref="AF26:AF46" si="29">ROUND(AA26+AE26,2)</f>
        <v>632877947.40999997</v>
      </c>
      <c r="AG26" s="62"/>
      <c r="AH26" s="62"/>
      <c r="AI26" s="57">
        <f t="shared" ref="AI26:AI46" si="30">ROUND(AG26+AH26,2)</f>
        <v>0</v>
      </c>
      <c r="AJ26" s="57">
        <f t="shared" ref="AJ26:AJ46" si="31">ROUND(AA26-AI26,2)</f>
        <v>632877947.40999997</v>
      </c>
      <c r="AK26" s="57">
        <f t="shared" ref="AK26:AK46" si="32">ROUND(AF26-AI26,2)</f>
        <v>632877947.40999997</v>
      </c>
    </row>
    <row r="27" spans="1:37" ht="14.25" customHeight="1" outlineLevel="2">
      <c r="A27" s="2">
        <v>513</v>
      </c>
      <c r="B27" s="3" t="s">
        <v>6</v>
      </c>
      <c r="C27" s="3" t="s">
        <v>41</v>
      </c>
      <c r="D27" s="3" t="s">
        <v>42</v>
      </c>
      <c r="E27" s="3" t="s">
        <v>45</v>
      </c>
      <c r="F27" s="3" t="s">
        <v>46</v>
      </c>
      <c r="G27" s="3">
        <v>52</v>
      </c>
      <c r="H27" s="63">
        <v>1.1499999999999999</v>
      </c>
      <c r="I27" s="64">
        <v>1.2</v>
      </c>
      <c r="J27" s="65">
        <f t="shared" si="0"/>
        <v>1.2</v>
      </c>
      <c r="K27" s="66">
        <v>51752</v>
      </c>
      <c r="L27" s="67">
        <f>VLOOKUP($E27,'[1]2.จัดสรรหลังSK'!$E$4:$Y$98,5,FALSE)</f>
        <v>1238.1725355541814</v>
      </c>
      <c r="M27" s="67">
        <f>VLOOKUP($E27,'[1]2.จัดสรรหลังSK'!$E$4:$Y$98,6,FALSE)</f>
        <v>244.51387521255216</v>
      </c>
      <c r="N27" s="68">
        <v>2591.1801999999998</v>
      </c>
      <c r="O27" s="68">
        <v>36.265500000000003</v>
      </c>
      <c r="P27" s="68">
        <v>0</v>
      </c>
      <c r="Q27" s="63">
        <f t="shared" si="1"/>
        <v>6992.7660449367131</v>
      </c>
      <c r="R27" s="63">
        <f>VLOOKUP($E27,'[1]2.จัดสรรหลังSK'!$E$4:$Y$98,11,FALSE)</f>
        <v>64077905.060000002</v>
      </c>
      <c r="S27" s="63">
        <f>VLOOKUP($E27,'[1]2.จัดสรรหลังSK'!$E$4:$Y$98,12,FALSE)</f>
        <v>12654082.07</v>
      </c>
      <c r="T27" s="65">
        <f>IF($I$105&lt;&gt;0,ROUND(ROUND(N27*J27,4)*Q27,2),VLOOKUP($E27,'[1]2.จัดสรรหลังSK'!$E$4:$Q$98,13,FALSE))</f>
        <v>21743420.02</v>
      </c>
      <c r="U27" s="63">
        <f>VLOOKUP($E27,'[1]2.จัดสรรหลังSK'!$E$4:$Y$98,14,FALSE)</f>
        <v>348148.8</v>
      </c>
      <c r="V27" s="63">
        <f>VLOOKUP($E27,'[1]2.จัดสรรหลังSK'!$E$4:$Y$98,15,FALSE)</f>
        <v>0</v>
      </c>
      <c r="W27" s="67">
        <f t="shared" si="24"/>
        <v>98823555.949999988</v>
      </c>
      <c r="X27" s="67">
        <v>33803447</v>
      </c>
      <c r="Y27" s="63">
        <f t="shared" si="25"/>
        <v>65020108.950000003</v>
      </c>
      <c r="Z27" s="69">
        <v>0</v>
      </c>
      <c r="AA27" s="70">
        <f t="shared" si="26"/>
        <v>65020108.950000003</v>
      </c>
      <c r="AB27" s="67">
        <f>VLOOKUP($E27,'[1]2.จัดสรรหลังSK'!$E$4:$Y$98,21,FALSE)</f>
        <v>48818763.439999998</v>
      </c>
      <c r="AC27" s="67">
        <f t="shared" si="27"/>
        <v>16201345.51</v>
      </c>
      <c r="AD27" s="71" t="str">
        <f t="shared" si="28"/>
        <v>ผ่าน</v>
      </c>
      <c r="AE27" s="72"/>
      <c r="AF27" s="67">
        <f t="shared" si="29"/>
        <v>65020108.950000003</v>
      </c>
      <c r="AG27" s="72"/>
      <c r="AH27" s="72"/>
      <c r="AI27" s="67">
        <f t="shared" si="30"/>
        <v>0</v>
      </c>
      <c r="AJ27" s="67">
        <f t="shared" si="31"/>
        <v>65020108.950000003</v>
      </c>
      <c r="AK27" s="67">
        <f t="shared" si="32"/>
        <v>65020108.950000003</v>
      </c>
    </row>
    <row r="28" spans="1:37" ht="14.25" customHeight="1" outlineLevel="2">
      <c r="A28" s="2">
        <v>514</v>
      </c>
      <c r="B28" s="3" t="s">
        <v>6</v>
      </c>
      <c r="C28" s="3" t="s">
        <v>41</v>
      </c>
      <c r="D28" s="3" t="s">
        <v>42</v>
      </c>
      <c r="E28" s="3" t="s">
        <v>47</v>
      </c>
      <c r="F28" s="3" t="s">
        <v>48</v>
      </c>
      <c r="G28" s="3">
        <v>60</v>
      </c>
      <c r="H28" s="63">
        <v>1.2</v>
      </c>
      <c r="I28" s="64"/>
      <c r="J28" s="65">
        <f t="shared" si="0"/>
        <v>1.2</v>
      </c>
      <c r="K28" s="66">
        <v>49952</v>
      </c>
      <c r="L28" s="67">
        <f>VLOOKUP($E28,'[1]2.จัดสรรหลังSK'!$E$4:$Y$98,5,FALSE)</f>
        <v>1251.3981778507368</v>
      </c>
      <c r="M28" s="67">
        <f>VLOOKUP($E28,'[1]2.จัดสรรหลังSK'!$E$4:$Y$98,6,FALSE)</f>
        <v>247.12567024343372</v>
      </c>
      <c r="N28" s="68">
        <v>2295.5652</v>
      </c>
      <c r="O28" s="68">
        <v>47.308300000000003</v>
      </c>
      <c r="P28" s="68">
        <v>0</v>
      </c>
      <c r="Q28" s="63">
        <f t="shared" si="1"/>
        <v>6992.7660449367131</v>
      </c>
      <c r="R28" s="63">
        <f>VLOOKUP($E28,'[1]2.จัดสรรหลังSK'!$E$4:$Y$98,11,FALSE)</f>
        <v>62509841.780000001</v>
      </c>
      <c r="S28" s="63">
        <f>VLOOKUP($E28,'[1]2.จัดสรรหลังSK'!$E$4:$Y$98,12,FALSE)</f>
        <v>12344421.48</v>
      </c>
      <c r="T28" s="65">
        <f>IF($I$105&lt;&gt;0,ROUND(ROUND(N28*J28,4)*Q28,2),VLOOKUP($E28,'[1]2.จัดสรรหลังSK'!$E$4:$Q$98,13,FALSE))</f>
        <v>19262820.18</v>
      </c>
      <c r="U28" s="63">
        <f>VLOOKUP($E28,'[1]2.จัดสรรหลังSK'!$E$4:$Y$98,14,FALSE)</f>
        <v>454159.68</v>
      </c>
      <c r="V28" s="63">
        <f>VLOOKUP($E28,'[1]2.จัดสรรหลังSK'!$E$4:$Y$98,15,FALSE)</f>
        <v>0</v>
      </c>
      <c r="W28" s="67">
        <f t="shared" si="24"/>
        <v>94571243.120000005</v>
      </c>
      <c r="X28" s="67">
        <v>40834521</v>
      </c>
      <c r="Y28" s="63">
        <f t="shared" si="25"/>
        <v>53736722.119999997</v>
      </c>
      <c r="Z28" s="69">
        <v>0</v>
      </c>
      <c r="AA28" s="70">
        <f t="shared" si="26"/>
        <v>53736722.119999997</v>
      </c>
      <c r="AB28" s="67">
        <f>VLOOKUP($E28,'[1]2.จัดสรรหลังSK'!$E$4:$Y$98,21,FALSE)</f>
        <v>46747503.43</v>
      </c>
      <c r="AC28" s="67">
        <f t="shared" si="27"/>
        <v>6989218.6900000004</v>
      </c>
      <c r="AD28" s="71" t="str">
        <f t="shared" si="28"/>
        <v>ผ่าน</v>
      </c>
      <c r="AE28" s="72"/>
      <c r="AF28" s="67">
        <f t="shared" si="29"/>
        <v>53736722.119999997</v>
      </c>
      <c r="AG28" s="72"/>
      <c r="AH28" s="72"/>
      <c r="AI28" s="67">
        <f t="shared" si="30"/>
        <v>0</v>
      </c>
      <c r="AJ28" s="67">
        <f t="shared" si="31"/>
        <v>53736722.119999997</v>
      </c>
      <c r="AK28" s="67">
        <f t="shared" si="32"/>
        <v>53736722.119999997</v>
      </c>
    </row>
    <row r="29" spans="1:37" ht="14.25" customHeight="1" outlineLevel="2">
      <c r="A29" s="2">
        <v>515</v>
      </c>
      <c r="B29" s="3" t="s">
        <v>6</v>
      </c>
      <c r="C29" s="3" t="s">
        <v>41</v>
      </c>
      <c r="D29" s="3" t="s">
        <v>42</v>
      </c>
      <c r="E29" s="3" t="s">
        <v>49</v>
      </c>
      <c r="F29" s="3" t="s">
        <v>50</v>
      </c>
      <c r="G29" s="3">
        <v>215</v>
      </c>
      <c r="H29" s="63">
        <v>1.1499999999999999</v>
      </c>
      <c r="I29" s="64"/>
      <c r="J29" s="65">
        <f t="shared" si="0"/>
        <v>1.1499999999999999</v>
      </c>
      <c r="K29" s="66">
        <v>84526</v>
      </c>
      <c r="L29" s="67">
        <f>VLOOKUP($E29,'[1]2.จัดสรรหลังSK'!$E$4:$Y$98,5,FALSE)</f>
        <v>1082.3589659986276</v>
      </c>
      <c r="M29" s="67">
        <f>VLOOKUP($E29,'[1]2.จัดสรรหลังSK'!$E$4:$Y$98,6,FALSE)</f>
        <v>213.74386650261457</v>
      </c>
      <c r="N29" s="68">
        <v>13595.438</v>
      </c>
      <c r="O29" s="68">
        <v>381.3956</v>
      </c>
      <c r="P29" s="68">
        <v>18.091799999999999</v>
      </c>
      <c r="Q29" s="63">
        <f t="shared" si="1"/>
        <v>6992.7660449367131</v>
      </c>
      <c r="R29" s="63">
        <f>VLOOKUP($E29,'[1]2.จัดสรรหลังSK'!$E$4:$Y$98,11,FALSE)</f>
        <v>91487473.959999993</v>
      </c>
      <c r="S29" s="63">
        <f>VLOOKUP($E29,'[1]2.จัดสรรหลังSK'!$E$4:$Y$98,12,FALSE)</f>
        <v>18066914.059999999</v>
      </c>
      <c r="T29" s="65">
        <f>IF($I$105&lt;&gt;0,ROUND(ROUND(N29*J29,4)*Q29,2),VLOOKUP($E29,'[1]2.จัดสรรหลังSK'!$E$4:$Q$98,13,FALSE))</f>
        <v>109330174.79000001</v>
      </c>
      <c r="U29" s="63">
        <f>VLOOKUP($E29,'[1]2.จัดสรรหลังSK'!$E$4:$Y$98,14,FALSE)</f>
        <v>3661397.76</v>
      </c>
      <c r="V29" s="63">
        <f>VLOOKUP($E29,'[1]2.จัดสรรหลังSK'!$E$4:$Y$98,15,FALSE)</f>
        <v>162826.20000000001</v>
      </c>
      <c r="W29" s="67">
        <f t="shared" si="24"/>
        <v>222708786.76999998</v>
      </c>
      <c r="X29" s="67">
        <v>96803058</v>
      </c>
      <c r="Y29" s="63">
        <f t="shared" si="25"/>
        <v>125905728.77</v>
      </c>
      <c r="Z29" s="69">
        <v>0</v>
      </c>
      <c r="AA29" s="70">
        <f t="shared" si="26"/>
        <v>125905728.77</v>
      </c>
      <c r="AB29" s="67">
        <f>VLOOKUP($E29,'[1]2.จัดสรรหลังSK'!$E$4:$Y$98,21,FALSE)</f>
        <v>106560462.81999999</v>
      </c>
      <c r="AC29" s="67">
        <f t="shared" si="27"/>
        <v>19345265.949999999</v>
      </c>
      <c r="AD29" s="71" t="str">
        <f t="shared" si="28"/>
        <v>ผ่าน</v>
      </c>
      <c r="AE29" s="72"/>
      <c r="AF29" s="67">
        <f t="shared" si="29"/>
        <v>125905728.77</v>
      </c>
      <c r="AG29" s="72"/>
      <c r="AH29" s="72"/>
      <c r="AI29" s="67">
        <f t="shared" si="30"/>
        <v>0</v>
      </c>
      <c r="AJ29" s="67">
        <f t="shared" si="31"/>
        <v>125905728.77</v>
      </c>
      <c r="AK29" s="67">
        <f t="shared" si="32"/>
        <v>125905728.77</v>
      </c>
    </row>
    <row r="30" spans="1:37" ht="14.25" customHeight="1" outlineLevel="2">
      <c r="A30" s="2">
        <v>516</v>
      </c>
      <c r="B30" s="3" t="s">
        <v>6</v>
      </c>
      <c r="C30" s="3" t="s">
        <v>41</v>
      </c>
      <c r="D30" s="3" t="s">
        <v>42</v>
      </c>
      <c r="E30" s="3" t="s">
        <v>51</v>
      </c>
      <c r="F30" s="3" t="s">
        <v>52</v>
      </c>
      <c r="G30" s="3">
        <v>8</v>
      </c>
      <c r="H30" s="63">
        <v>1.5</v>
      </c>
      <c r="I30" s="64"/>
      <c r="J30" s="65">
        <f t="shared" si="0"/>
        <v>1.5</v>
      </c>
      <c r="K30" s="66">
        <v>4061</v>
      </c>
      <c r="L30" s="67">
        <f>VLOOKUP($E30,'[1]2.จัดสรรหลังSK'!$E$4:$Y$98,5,FALSE)</f>
        <v>1737.6587761635064</v>
      </c>
      <c r="M30" s="67">
        <f>VLOOKUP($E30,'[1]2.จัดสรรหลังSK'!$E$4:$Y$98,6,FALSE)</f>
        <v>343.1522408273824</v>
      </c>
      <c r="N30" s="68">
        <v>0</v>
      </c>
      <c r="O30" s="68">
        <v>0</v>
      </c>
      <c r="P30" s="68">
        <v>0</v>
      </c>
      <c r="Q30" s="63">
        <f t="shared" si="1"/>
        <v>6992.7660449367131</v>
      </c>
      <c r="R30" s="63">
        <f>VLOOKUP($E30,'[1]2.จัดสรรหลังSK'!$E$4:$Y$98,11,FALSE)</f>
        <v>7056632.29</v>
      </c>
      <c r="S30" s="63">
        <f>VLOOKUP($E30,'[1]2.จัดสรรหลังSK'!$E$4:$Y$98,12,FALSE)</f>
        <v>1393541.25</v>
      </c>
      <c r="T30" s="65">
        <f>IF($I$105&lt;&gt;0,ROUND(ROUND(N30*J30,4)*Q30,2),VLOOKUP($E30,'[1]2.จัดสรรหลังSK'!$E$4:$Q$98,13,FALSE))</f>
        <v>0</v>
      </c>
      <c r="U30" s="63">
        <f>VLOOKUP($E30,'[1]2.จัดสรรหลังSK'!$E$4:$Y$98,14,FALSE)</f>
        <v>0</v>
      </c>
      <c r="V30" s="63">
        <f>VLOOKUP($E30,'[1]2.จัดสรรหลังSK'!$E$4:$Y$98,15,FALSE)</f>
        <v>0</v>
      </c>
      <c r="W30" s="67">
        <f t="shared" si="24"/>
        <v>8450173.5399999991</v>
      </c>
      <c r="X30" s="67">
        <v>7863327</v>
      </c>
      <c r="Y30" s="63">
        <f t="shared" si="25"/>
        <v>586846.54</v>
      </c>
      <c r="Z30" s="69">
        <v>9413153.4600000009</v>
      </c>
      <c r="AA30" s="70">
        <f t="shared" si="26"/>
        <v>10000000</v>
      </c>
      <c r="AB30" s="67">
        <f>VLOOKUP($E30,'[1]2.จัดสรรหลังSK'!$E$4:$Y$98,21,FALSE)</f>
        <v>10000000</v>
      </c>
      <c r="AC30" s="67">
        <f t="shared" si="27"/>
        <v>0</v>
      </c>
      <c r="AD30" s="71" t="str">
        <f t="shared" si="28"/>
        <v>ผ่าน</v>
      </c>
      <c r="AE30" s="72"/>
      <c r="AF30" s="67">
        <f t="shared" si="29"/>
        <v>10000000</v>
      </c>
      <c r="AG30" s="72"/>
      <c r="AH30" s="72"/>
      <c r="AI30" s="67">
        <f t="shared" si="30"/>
        <v>0</v>
      </c>
      <c r="AJ30" s="67">
        <f t="shared" si="31"/>
        <v>10000000</v>
      </c>
      <c r="AK30" s="67">
        <f t="shared" si="32"/>
        <v>10000000</v>
      </c>
    </row>
    <row r="31" spans="1:37" ht="14.25" customHeight="1" outlineLevel="2">
      <c r="A31" s="2">
        <v>517</v>
      </c>
      <c r="B31" s="3" t="s">
        <v>6</v>
      </c>
      <c r="C31" s="3" t="s">
        <v>41</v>
      </c>
      <c r="D31" s="3" t="s">
        <v>42</v>
      </c>
      <c r="E31" s="3" t="s">
        <v>53</v>
      </c>
      <c r="F31" s="3" t="s">
        <v>54</v>
      </c>
      <c r="G31" s="3">
        <v>40</v>
      </c>
      <c r="H31" s="63">
        <v>1.25</v>
      </c>
      <c r="I31" s="64"/>
      <c r="J31" s="65">
        <f t="shared" si="0"/>
        <v>1.25</v>
      </c>
      <c r="K31" s="66">
        <v>37153</v>
      </c>
      <c r="L31" s="67">
        <f>VLOOKUP($E31,'[1]2.จัดสรรหลังSK'!$E$4:$Y$98,5,FALSE)</f>
        <v>1346.6025346539982</v>
      </c>
      <c r="M31" s="67">
        <f>VLOOKUP($E31,'[1]2.จัดสรรหลังSK'!$E$4:$Y$98,6,FALSE)</f>
        <v>265.92659300729417</v>
      </c>
      <c r="N31" s="68">
        <v>2169.4890999999998</v>
      </c>
      <c r="O31" s="68">
        <v>34.862499999999997</v>
      </c>
      <c r="P31" s="68">
        <v>6.1119000000000003</v>
      </c>
      <c r="Q31" s="63">
        <f t="shared" si="1"/>
        <v>6992.7660449367131</v>
      </c>
      <c r="R31" s="63">
        <f>VLOOKUP($E31,'[1]2.จัดสรรหลังSK'!$E$4:$Y$98,11,FALSE)</f>
        <v>50030323.969999999</v>
      </c>
      <c r="S31" s="63">
        <f>VLOOKUP($E31,'[1]2.จัดสรรหลังSK'!$E$4:$Y$98,12,FALSE)</f>
        <v>9879970.7100000009</v>
      </c>
      <c r="T31" s="65">
        <f>IF($I$105&lt;&gt;0,ROUND(ROUND(N31*J31,4)*Q31,2),VLOOKUP($E31,'[1]2.จัดสรรหลังSK'!$E$4:$Q$98,13,FALSE))</f>
        <v>18963412.32</v>
      </c>
      <c r="U31" s="63">
        <f>VLOOKUP($E31,'[1]2.จัดสรรหลังSK'!$E$4:$Y$98,14,FALSE)</f>
        <v>334680</v>
      </c>
      <c r="V31" s="63">
        <f>VLOOKUP($E31,'[1]2.จัดสรรหลังSK'!$E$4:$Y$98,15,FALSE)</f>
        <v>55007.1</v>
      </c>
      <c r="W31" s="67">
        <f t="shared" si="24"/>
        <v>79263394.099999994</v>
      </c>
      <c r="X31" s="67">
        <v>29450868</v>
      </c>
      <c r="Y31" s="63">
        <f t="shared" si="25"/>
        <v>49812526.100000001</v>
      </c>
      <c r="Z31" s="69">
        <v>0</v>
      </c>
      <c r="AA31" s="70">
        <f t="shared" si="26"/>
        <v>49812526.100000001</v>
      </c>
      <c r="AB31" s="67">
        <f>VLOOKUP($E31,'[1]2.จัดสรรหลังSK'!$E$4:$Y$98,21,FALSE)</f>
        <v>39966858.119999997</v>
      </c>
      <c r="AC31" s="67">
        <f t="shared" si="27"/>
        <v>9845667.9800000004</v>
      </c>
      <c r="AD31" s="71" t="str">
        <f t="shared" si="28"/>
        <v>ผ่าน</v>
      </c>
      <c r="AE31" s="72"/>
      <c r="AF31" s="67">
        <f t="shared" si="29"/>
        <v>49812526.100000001</v>
      </c>
      <c r="AG31" s="72"/>
      <c r="AH31" s="72"/>
      <c r="AI31" s="67">
        <f t="shared" si="30"/>
        <v>0</v>
      </c>
      <c r="AJ31" s="67">
        <f t="shared" si="31"/>
        <v>49812526.100000001</v>
      </c>
      <c r="AK31" s="67">
        <f t="shared" si="32"/>
        <v>49812526.100000001</v>
      </c>
    </row>
    <row r="32" spans="1:37" ht="14.25" customHeight="1" outlineLevel="2">
      <c r="A32" s="2">
        <v>518</v>
      </c>
      <c r="B32" s="3" t="s">
        <v>6</v>
      </c>
      <c r="C32" s="3" t="s">
        <v>41</v>
      </c>
      <c r="D32" s="3" t="s">
        <v>42</v>
      </c>
      <c r="E32" s="3" t="s">
        <v>55</v>
      </c>
      <c r="F32" s="3" t="s">
        <v>56</v>
      </c>
      <c r="G32" s="3">
        <v>124</v>
      </c>
      <c r="H32" s="63">
        <v>1.1000000000000001</v>
      </c>
      <c r="I32" s="64">
        <v>1.1499999999999999</v>
      </c>
      <c r="J32" s="65">
        <f t="shared" si="0"/>
        <v>1.1499999999999999</v>
      </c>
      <c r="K32" s="66">
        <v>91710</v>
      </c>
      <c r="L32" s="67">
        <f>VLOOKUP($E32,'[1]2.จัดสรรหลังSK'!$E$4:$Y$98,5,FALSE)</f>
        <v>1061.4194292879729</v>
      </c>
      <c r="M32" s="67">
        <f>VLOOKUP($E32,'[1]2.จัดสรรหลังSK'!$E$4:$Y$98,6,FALSE)</f>
        <v>209.6087341620325</v>
      </c>
      <c r="N32" s="68">
        <v>6241.1603999999998</v>
      </c>
      <c r="O32" s="68">
        <v>88.013599999999997</v>
      </c>
      <c r="P32" s="68">
        <v>8.5539000000000005</v>
      </c>
      <c r="Q32" s="63">
        <f t="shared" si="1"/>
        <v>6992.7660449367131</v>
      </c>
      <c r="R32" s="63">
        <f>VLOOKUP($E32,'[1]2.จัดสรรหลังSK'!$E$4:$Y$98,11,FALSE)</f>
        <v>97342775.859999999</v>
      </c>
      <c r="S32" s="63">
        <f>VLOOKUP($E32,'[1]2.จัดสรรหลังSK'!$E$4:$Y$98,12,FALSE)</f>
        <v>19223217.010000002</v>
      </c>
      <c r="T32" s="65">
        <f>IF($I$105&lt;&gt;0,ROUND(ROUND(N32*J32,4)*Q32,2),VLOOKUP($E32,'[1]2.จัดสรรหลังSK'!$E$4:$Q$98,13,FALSE))</f>
        <v>50189420.979999997</v>
      </c>
      <c r="U32" s="63">
        <f>VLOOKUP($E32,'[1]2.จัดสรรหลังSK'!$E$4:$Y$98,14,FALSE)</f>
        <v>844930.56000000006</v>
      </c>
      <c r="V32" s="63">
        <f>VLOOKUP($E32,'[1]2.จัดสรรหลังSK'!$E$4:$Y$98,15,FALSE)</f>
        <v>76985.100000000006</v>
      </c>
      <c r="W32" s="67">
        <f t="shared" si="24"/>
        <v>167677329.50999999</v>
      </c>
      <c r="X32" s="67">
        <v>69390201</v>
      </c>
      <c r="Y32" s="63">
        <f t="shared" si="25"/>
        <v>98287128.510000005</v>
      </c>
      <c r="Z32" s="69">
        <v>0</v>
      </c>
      <c r="AA32" s="70">
        <f t="shared" si="26"/>
        <v>98287128.510000005</v>
      </c>
      <c r="AB32" s="67">
        <f>VLOOKUP($E32,'[1]2.จัดสรรหลังSK'!$E$4:$Y$98,21,FALSE)</f>
        <v>86754270.340000004</v>
      </c>
      <c r="AC32" s="67">
        <f t="shared" si="27"/>
        <v>11532858.17</v>
      </c>
      <c r="AD32" s="71" t="str">
        <f t="shared" si="28"/>
        <v>ผ่าน</v>
      </c>
      <c r="AE32" s="72"/>
      <c r="AF32" s="67">
        <f t="shared" si="29"/>
        <v>98287128.510000005</v>
      </c>
      <c r="AG32" s="72"/>
      <c r="AH32" s="72"/>
      <c r="AI32" s="67">
        <f t="shared" si="30"/>
        <v>0</v>
      </c>
      <c r="AJ32" s="67">
        <f t="shared" si="31"/>
        <v>98287128.510000005</v>
      </c>
      <c r="AK32" s="67">
        <f t="shared" si="32"/>
        <v>98287128.510000005</v>
      </c>
    </row>
    <row r="33" spans="1:37" ht="14.25" customHeight="1" outlineLevel="2">
      <c r="A33" s="2">
        <v>519</v>
      </c>
      <c r="B33" s="3" t="s">
        <v>6</v>
      </c>
      <c r="C33" s="3" t="s">
        <v>41</v>
      </c>
      <c r="D33" s="3" t="s">
        <v>42</v>
      </c>
      <c r="E33" s="3" t="s">
        <v>57</v>
      </c>
      <c r="F33" s="3" t="s">
        <v>58</v>
      </c>
      <c r="G33" s="3">
        <v>30</v>
      </c>
      <c r="H33" s="63">
        <v>1.3</v>
      </c>
      <c r="I33" s="64"/>
      <c r="J33" s="65">
        <f t="shared" si="0"/>
        <v>1.3</v>
      </c>
      <c r="K33" s="66">
        <v>25272</v>
      </c>
      <c r="L33" s="67">
        <f>VLOOKUP($E33,'[1]2.จัดสรรหลังSK'!$E$4:$Y$98,5,FALSE)</f>
        <v>1457.0150581671414</v>
      </c>
      <c r="M33" s="67">
        <f>VLOOKUP($E33,'[1]2.จัดสรรหลังSK'!$E$4:$Y$98,6,FALSE)</f>
        <v>287.73081908831909</v>
      </c>
      <c r="N33" s="68">
        <v>1172.5636</v>
      </c>
      <c r="O33" s="68">
        <v>12.6966</v>
      </c>
      <c r="P33" s="68">
        <v>0</v>
      </c>
      <c r="Q33" s="63">
        <f t="shared" si="1"/>
        <v>6992.7660449367131</v>
      </c>
      <c r="R33" s="63">
        <f>VLOOKUP($E33,'[1]2.จัดสรรหลังSK'!$E$4:$Y$98,11,FALSE)</f>
        <v>36821684.549999997</v>
      </c>
      <c r="S33" s="63">
        <f>VLOOKUP($E33,'[1]2.จัดสรรหลังSK'!$E$4:$Y$98,12,FALSE)</f>
        <v>7271533.2599999998</v>
      </c>
      <c r="T33" s="65">
        <f>IF($I$105&lt;&gt;0,ROUND(ROUND(N33*J33,4)*Q33,2),VLOOKUP($E33,'[1]2.จัดสรรหลังSK'!$E$4:$Q$98,13,FALSE))</f>
        <v>10659301.949999999</v>
      </c>
      <c r="U33" s="63">
        <f>VLOOKUP($E33,'[1]2.จัดสรรหลังSK'!$E$4:$Y$98,14,FALSE)</f>
        <v>121887.36</v>
      </c>
      <c r="V33" s="63">
        <f>VLOOKUP($E33,'[1]2.จัดสรรหลังSK'!$E$4:$Y$98,15,FALSE)</f>
        <v>0</v>
      </c>
      <c r="W33" s="67">
        <f t="shared" si="24"/>
        <v>54874407.11999999</v>
      </c>
      <c r="X33" s="67">
        <v>22580514</v>
      </c>
      <c r="Y33" s="63">
        <f t="shared" si="25"/>
        <v>32293893.120000001</v>
      </c>
      <c r="Z33" s="69">
        <v>0</v>
      </c>
      <c r="AA33" s="70">
        <f t="shared" si="26"/>
        <v>32293893.120000001</v>
      </c>
      <c r="AB33" s="67">
        <f>VLOOKUP($E33,'[1]2.จัดสรรหลังSK'!$E$4:$Y$98,21,FALSE)</f>
        <v>27500653.43</v>
      </c>
      <c r="AC33" s="67">
        <f t="shared" si="27"/>
        <v>4793239.6900000004</v>
      </c>
      <c r="AD33" s="71" t="str">
        <f t="shared" si="28"/>
        <v>ผ่าน</v>
      </c>
      <c r="AE33" s="72"/>
      <c r="AF33" s="67">
        <f t="shared" si="29"/>
        <v>32293893.120000001</v>
      </c>
      <c r="AG33" s="72"/>
      <c r="AH33" s="72"/>
      <c r="AI33" s="67">
        <f t="shared" si="30"/>
        <v>0</v>
      </c>
      <c r="AJ33" s="67">
        <f t="shared" si="31"/>
        <v>32293893.120000001</v>
      </c>
      <c r="AK33" s="67">
        <f t="shared" si="32"/>
        <v>32293893.120000001</v>
      </c>
    </row>
    <row r="34" spans="1:37" ht="14.25" customHeight="1" outlineLevel="2">
      <c r="A34" s="2">
        <v>520</v>
      </c>
      <c r="B34" s="3" t="s">
        <v>6</v>
      </c>
      <c r="C34" s="3" t="s">
        <v>41</v>
      </c>
      <c r="D34" s="3" t="s">
        <v>42</v>
      </c>
      <c r="E34" s="3" t="s">
        <v>59</v>
      </c>
      <c r="F34" s="3" t="s">
        <v>60</v>
      </c>
      <c r="G34" s="3">
        <v>30</v>
      </c>
      <c r="H34" s="63">
        <v>1.3</v>
      </c>
      <c r="I34" s="64"/>
      <c r="J34" s="65">
        <f t="shared" si="0"/>
        <v>1.3</v>
      </c>
      <c r="K34" s="66">
        <v>29850</v>
      </c>
      <c r="L34" s="67">
        <f>VLOOKUP($E34,'[1]2.จัดสรรหลังSK'!$E$4:$Y$98,5,FALSE)</f>
        <v>1420.1067293132328</v>
      </c>
      <c r="M34" s="67">
        <f>VLOOKUP($E34,'[1]2.จัดสรรหลังSK'!$E$4:$Y$98,6,FALSE)</f>
        <v>280.44217554438865</v>
      </c>
      <c r="N34" s="68">
        <v>1118.5631000000001</v>
      </c>
      <c r="O34" s="68">
        <v>20.002199999999998</v>
      </c>
      <c r="P34" s="68">
        <v>0</v>
      </c>
      <c r="Q34" s="63">
        <f t="shared" si="1"/>
        <v>6992.7660449367131</v>
      </c>
      <c r="R34" s="63">
        <f>VLOOKUP($E34,'[1]2.จัดสรรหลังSK'!$E$4:$Y$98,11,FALSE)</f>
        <v>42390185.869999997</v>
      </c>
      <c r="S34" s="63">
        <f>VLOOKUP($E34,'[1]2.จัดสรรหลังSK'!$E$4:$Y$98,12,FALSE)</f>
        <v>8371198.9400000004</v>
      </c>
      <c r="T34" s="65">
        <f>IF($I$105&lt;&gt;0,ROUND(ROUND(N34*J34,4)*Q34,2),VLOOKUP($E34,'[1]2.จัดสรรหลังSK'!$E$4:$Q$98,13,FALSE))</f>
        <v>10168404.869999999</v>
      </c>
      <c r="U34" s="63">
        <f>VLOOKUP($E34,'[1]2.จัดสรรหลังSK'!$E$4:$Y$98,14,FALSE)</f>
        <v>192021.12</v>
      </c>
      <c r="V34" s="63">
        <f>VLOOKUP($E34,'[1]2.จัดสรรหลังSK'!$E$4:$Y$98,15,FALSE)</f>
        <v>0</v>
      </c>
      <c r="W34" s="67">
        <f t="shared" si="24"/>
        <v>61121810.79999999</v>
      </c>
      <c r="X34" s="67">
        <v>19840224</v>
      </c>
      <c r="Y34" s="63">
        <f t="shared" si="25"/>
        <v>41281586.799999997</v>
      </c>
      <c r="Z34" s="69">
        <v>0</v>
      </c>
      <c r="AA34" s="70">
        <f t="shared" si="26"/>
        <v>41281586.799999997</v>
      </c>
      <c r="AB34" s="67">
        <f>VLOOKUP($E34,'[1]2.จัดสรรหลังSK'!$E$4:$Y$98,21,FALSE)</f>
        <v>34865709.25</v>
      </c>
      <c r="AC34" s="67">
        <f t="shared" si="27"/>
        <v>6415877.5499999998</v>
      </c>
      <c r="AD34" s="71" t="str">
        <f t="shared" si="28"/>
        <v>ผ่าน</v>
      </c>
      <c r="AE34" s="72"/>
      <c r="AF34" s="67">
        <f t="shared" si="29"/>
        <v>41281586.799999997</v>
      </c>
      <c r="AG34" s="72"/>
      <c r="AH34" s="72"/>
      <c r="AI34" s="67">
        <f t="shared" si="30"/>
        <v>0</v>
      </c>
      <c r="AJ34" s="67">
        <f t="shared" si="31"/>
        <v>41281586.799999997</v>
      </c>
      <c r="AK34" s="67">
        <f t="shared" si="32"/>
        <v>41281586.799999997</v>
      </c>
    </row>
    <row r="35" spans="1:37" ht="14.25" customHeight="1" outlineLevel="2">
      <c r="A35" s="2">
        <v>521</v>
      </c>
      <c r="B35" s="3" t="s">
        <v>6</v>
      </c>
      <c r="C35" s="3" t="s">
        <v>41</v>
      </c>
      <c r="D35" s="3" t="s">
        <v>42</v>
      </c>
      <c r="E35" s="3" t="s">
        <v>61</v>
      </c>
      <c r="F35" s="3" t="s">
        <v>62</v>
      </c>
      <c r="G35" s="3">
        <v>36</v>
      </c>
      <c r="H35" s="63">
        <v>1.25</v>
      </c>
      <c r="I35" s="64"/>
      <c r="J35" s="65">
        <f t="shared" si="0"/>
        <v>1.25</v>
      </c>
      <c r="K35" s="66">
        <v>36573</v>
      </c>
      <c r="L35" s="67">
        <f>VLOOKUP($E35,'[1]2.จัดสรรหลังSK'!$E$4:$Y$98,5,FALSE)</f>
        <v>1351.4236928881962</v>
      </c>
      <c r="M35" s="67">
        <f>VLOOKUP($E35,'[1]2.จัดสรรหลังSK'!$E$4:$Y$98,6,FALSE)</f>
        <v>266.87867361168077</v>
      </c>
      <c r="N35" s="68">
        <v>1688.8957</v>
      </c>
      <c r="O35" s="68">
        <v>27.6968</v>
      </c>
      <c r="P35" s="68">
        <v>0</v>
      </c>
      <c r="Q35" s="63">
        <f t="shared" si="1"/>
        <v>6992.7660449367131</v>
      </c>
      <c r="R35" s="63">
        <f>VLOOKUP($E35,'[1]2.จัดสรรหลังSK'!$E$4:$Y$98,11,FALSE)</f>
        <v>49425618.719999999</v>
      </c>
      <c r="S35" s="63">
        <f>VLOOKUP($E35,'[1]2.จัดสรรหลังSK'!$E$4:$Y$98,12,FALSE)</f>
        <v>9760553.7300000004</v>
      </c>
      <c r="T35" s="65">
        <f>IF($I$105&lt;&gt;0,ROUND(ROUND(N35*J35,4)*Q35,2),VLOOKUP($E35,'[1]2.จัดสรรหลังSK'!$E$4:$Q$98,13,FALSE))</f>
        <v>14762565.460000001</v>
      </c>
      <c r="U35" s="63">
        <f>VLOOKUP($E35,'[1]2.จัดสรรหลังSK'!$E$4:$Y$98,14,FALSE)</f>
        <v>265889.28000000003</v>
      </c>
      <c r="V35" s="63">
        <f>VLOOKUP($E35,'[1]2.จัดสรรหลังSK'!$E$4:$Y$98,15,FALSE)</f>
        <v>0</v>
      </c>
      <c r="W35" s="67">
        <f t="shared" si="24"/>
        <v>74214627.189999998</v>
      </c>
      <c r="X35" s="67">
        <v>29005878</v>
      </c>
      <c r="Y35" s="63">
        <f t="shared" si="25"/>
        <v>45208749.189999998</v>
      </c>
      <c r="Z35" s="69">
        <v>0</v>
      </c>
      <c r="AA35" s="70">
        <f t="shared" si="26"/>
        <v>45208749.189999998</v>
      </c>
      <c r="AB35" s="67">
        <f>VLOOKUP($E35,'[1]2.จัดสรรหลังSK'!$E$4:$Y$98,21,FALSE)</f>
        <v>39762029.600000001</v>
      </c>
      <c r="AC35" s="67">
        <f t="shared" si="27"/>
        <v>5446719.5899999999</v>
      </c>
      <c r="AD35" s="71" t="str">
        <f t="shared" si="28"/>
        <v>ผ่าน</v>
      </c>
      <c r="AE35" s="72"/>
      <c r="AF35" s="67">
        <f t="shared" si="29"/>
        <v>45208749.189999998</v>
      </c>
      <c r="AG35" s="72"/>
      <c r="AH35" s="72"/>
      <c r="AI35" s="67">
        <f t="shared" si="30"/>
        <v>0</v>
      </c>
      <c r="AJ35" s="67">
        <f t="shared" si="31"/>
        <v>45208749.189999998</v>
      </c>
      <c r="AK35" s="67">
        <f t="shared" si="32"/>
        <v>45208749.189999998</v>
      </c>
    </row>
    <row r="36" spans="1:37" ht="14.25" customHeight="1" outlineLevel="2">
      <c r="A36" s="2">
        <v>522</v>
      </c>
      <c r="B36" s="3" t="s">
        <v>6</v>
      </c>
      <c r="C36" s="3" t="s">
        <v>41</v>
      </c>
      <c r="D36" s="3" t="s">
        <v>42</v>
      </c>
      <c r="E36" s="3" t="s">
        <v>63</v>
      </c>
      <c r="F36" s="3" t="s">
        <v>64</v>
      </c>
      <c r="G36" s="3">
        <v>55</v>
      </c>
      <c r="H36" s="63">
        <v>1.2</v>
      </c>
      <c r="I36" s="64"/>
      <c r="J36" s="65">
        <f t="shared" si="0"/>
        <v>1.2</v>
      </c>
      <c r="K36" s="66">
        <v>43596</v>
      </c>
      <c r="L36" s="67">
        <f>VLOOKUP($E36,'[1]2.จัดสรรหลังSK'!$E$4:$Y$98,5,FALSE)</f>
        <v>1294.5071618955867</v>
      </c>
      <c r="M36" s="67">
        <f>VLOOKUP($E36,'[1]2.จัดสรรหลังSK'!$E$4:$Y$98,6,FALSE)</f>
        <v>255.63881732269019</v>
      </c>
      <c r="N36" s="68">
        <v>2450.2330999999999</v>
      </c>
      <c r="O36" s="68">
        <v>56.857900000000001</v>
      </c>
      <c r="P36" s="68">
        <v>0</v>
      </c>
      <c r="Q36" s="63">
        <f t="shared" si="1"/>
        <v>6992.7660449367131</v>
      </c>
      <c r="R36" s="63">
        <f>VLOOKUP($E36,'[1]2.จัดสรรหลังSK'!$E$4:$Y$98,11,FALSE)</f>
        <v>56435334.229999997</v>
      </c>
      <c r="S36" s="63">
        <f>VLOOKUP($E36,'[1]2.จัดสรรหลังSK'!$E$4:$Y$98,12,FALSE)</f>
        <v>11144829.880000001</v>
      </c>
      <c r="T36" s="65">
        <f>IF($I$105&lt;&gt;0,ROUND(ROUND(N36*J36,4)*Q36,2),VLOOKUP($E36,'[1]2.จัดสรรหลังSK'!$E$4:$Q$98,13,FALSE))</f>
        <v>20560688.050000001</v>
      </c>
      <c r="U36" s="63">
        <f>VLOOKUP($E36,'[1]2.จัดสรรหลังSK'!$E$4:$Y$98,14,FALSE)</f>
        <v>545835.84</v>
      </c>
      <c r="V36" s="63">
        <f>VLOOKUP($E36,'[1]2.จัดสรรหลังSK'!$E$4:$Y$98,15,FALSE)</f>
        <v>0</v>
      </c>
      <c r="W36" s="67">
        <f t="shared" si="24"/>
        <v>88686688</v>
      </c>
      <c r="X36" s="67">
        <v>32989170</v>
      </c>
      <c r="Y36" s="63">
        <f t="shared" si="25"/>
        <v>55697518</v>
      </c>
      <c r="Z36" s="69">
        <v>0</v>
      </c>
      <c r="AA36" s="70">
        <f t="shared" si="26"/>
        <v>55697518</v>
      </c>
      <c r="AB36" s="67">
        <f>VLOOKUP($E36,'[1]2.จัดสรรหลังSK'!$E$4:$Y$98,21,FALSE)</f>
        <v>49821461.280000001</v>
      </c>
      <c r="AC36" s="67">
        <f t="shared" si="27"/>
        <v>5876056.7199999997</v>
      </c>
      <c r="AD36" s="71" t="str">
        <f t="shared" si="28"/>
        <v>ผ่าน</v>
      </c>
      <c r="AE36" s="72"/>
      <c r="AF36" s="67">
        <f t="shared" si="29"/>
        <v>55697518</v>
      </c>
      <c r="AG36" s="72"/>
      <c r="AH36" s="72"/>
      <c r="AI36" s="67">
        <f t="shared" si="30"/>
        <v>0</v>
      </c>
      <c r="AJ36" s="67">
        <f t="shared" si="31"/>
        <v>55697518</v>
      </c>
      <c r="AK36" s="67">
        <f t="shared" si="32"/>
        <v>55697518</v>
      </c>
    </row>
    <row r="37" spans="1:37" ht="14.25" customHeight="1" outlineLevel="2">
      <c r="A37" s="2">
        <v>523</v>
      </c>
      <c r="B37" s="3" t="s">
        <v>6</v>
      </c>
      <c r="C37" s="3" t="s">
        <v>41</v>
      </c>
      <c r="D37" s="3" t="s">
        <v>42</v>
      </c>
      <c r="E37" s="3" t="s">
        <v>65</v>
      </c>
      <c r="F37" s="3" t="s">
        <v>66</v>
      </c>
      <c r="G37" s="3">
        <v>120</v>
      </c>
      <c r="H37" s="63">
        <v>1.1000000000000001</v>
      </c>
      <c r="I37" s="64">
        <v>1.1499999999999999</v>
      </c>
      <c r="J37" s="65">
        <f t="shared" si="0"/>
        <v>1.1499999999999999</v>
      </c>
      <c r="K37" s="66">
        <v>87077</v>
      </c>
      <c r="L37" s="67">
        <f>VLOOKUP($E37,'[1]2.จัดสรรหลังSK'!$E$4:$Y$98,5,FALSE)</f>
        <v>1074.8307651848365</v>
      </c>
      <c r="M37" s="67">
        <f>VLOOKUP($E37,'[1]2.จัดสรรหลังSK'!$E$4:$Y$98,6,FALSE)</f>
        <v>212.25719994946999</v>
      </c>
      <c r="N37" s="68">
        <v>6250.7851000000001</v>
      </c>
      <c r="O37" s="68">
        <v>106.669</v>
      </c>
      <c r="P37" s="68">
        <v>0</v>
      </c>
      <c r="Q37" s="63">
        <f t="shared" si="1"/>
        <v>6992.7660449367131</v>
      </c>
      <c r="R37" s="63">
        <f>VLOOKUP($E37,'[1]2.จัดสรรหลังSK'!$E$4:$Y$98,11,FALSE)</f>
        <v>93593038.540000007</v>
      </c>
      <c r="S37" s="63">
        <f>VLOOKUP($E37,'[1]2.จัดสรรหลังSK'!$E$4:$Y$98,12,FALSE)</f>
        <v>18482720.199999999</v>
      </c>
      <c r="T37" s="65">
        <f>IF($I$105&lt;&gt;0,ROUND(ROUND(N37*J37,4)*Q37,2),VLOOKUP($E37,'[1]2.จัดสรรหลังSK'!$E$4:$Q$98,13,FALSE))</f>
        <v>50266819.719999999</v>
      </c>
      <c r="U37" s="63">
        <f>VLOOKUP($E37,'[1]2.จัดสรรหลังSK'!$E$4:$Y$98,14,FALSE)</f>
        <v>1024022.4</v>
      </c>
      <c r="V37" s="63">
        <f>VLOOKUP($E37,'[1]2.จัดสรรหลังSK'!$E$4:$Y$98,15,FALSE)</f>
        <v>0</v>
      </c>
      <c r="W37" s="67">
        <f t="shared" si="24"/>
        <v>163366600.86000001</v>
      </c>
      <c r="X37" s="67">
        <v>59205656</v>
      </c>
      <c r="Y37" s="63">
        <f t="shared" si="25"/>
        <v>104160944.86</v>
      </c>
      <c r="Z37" s="69">
        <v>0</v>
      </c>
      <c r="AA37" s="70">
        <f t="shared" si="26"/>
        <v>104160944.86</v>
      </c>
      <c r="AB37" s="67">
        <f>VLOOKUP($E37,'[1]2.จัดสรรหลังSK'!$E$4:$Y$98,21,FALSE)</f>
        <v>88220657.040000007</v>
      </c>
      <c r="AC37" s="67">
        <f t="shared" si="27"/>
        <v>15940287.82</v>
      </c>
      <c r="AD37" s="71" t="str">
        <f t="shared" si="28"/>
        <v>ผ่าน</v>
      </c>
      <c r="AE37" s="72"/>
      <c r="AF37" s="67">
        <f t="shared" si="29"/>
        <v>104160944.86</v>
      </c>
      <c r="AG37" s="72"/>
      <c r="AH37" s="72"/>
      <c r="AI37" s="67">
        <f t="shared" si="30"/>
        <v>0</v>
      </c>
      <c r="AJ37" s="67">
        <f t="shared" si="31"/>
        <v>104160944.86</v>
      </c>
      <c r="AK37" s="67">
        <f t="shared" si="32"/>
        <v>104160944.86</v>
      </c>
    </row>
    <row r="38" spans="1:37" ht="14.25" customHeight="1" outlineLevel="2">
      <c r="A38" s="2">
        <v>524</v>
      </c>
      <c r="B38" s="3" t="s">
        <v>6</v>
      </c>
      <c r="C38" s="3" t="s">
        <v>41</v>
      </c>
      <c r="D38" s="3" t="s">
        <v>42</v>
      </c>
      <c r="E38" s="3" t="s">
        <v>67</v>
      </c>
      <c r="F38" s="3" t="s">
        <v>68</v>
      </c>
      <c r="G38" s="3">
        <v>88</v>
      </c>
      <c r="H38" s="63">
        <v>1.1499999999999999</v>
      </c>
      <c r="I38" s="64">
        <v>1.2</v>
      </c>
      <c r="J38" s="65">
        <f t="shared" si="0"/>
        <v>1.2</v>
      </c>
      <c r="K38" s="66">
        <v>46833</v>
      </c>
      <c r="L38" s="67">
        <f>VLOOKUP($E38,'[1]2.จัดสรรหลังSK'!$E$4:$Y$98,5,FALSE)</f>
        <v>1271.0903642730555</v>
      </c>
      <c r="M38" s="67">
        <f>VLOOKUP($E38,'[1]2.จัดสรรหลังSK'!$E$4:$Y$98,6,FALSE)</f>
        <v>251.01447654431706</v>
      </c>
      <c r="N38" s="68">
        <v>2908.6091000000001</v>
      </c>
      <c r="O38" s="68">
        <v>61.230200000000004</v>
      </c>
      <c r="P38" s="68">
        <v>0</v>
      </c>
      <c r="Q38" s="63">
        <f t="shared" si="1"/>
        <v>6992.7660449367131</v>
      </c>
      <c r="R38" s="63">
        <f>VLOOKUP($E38,'[1]2.จัดสรรหลังSK'!$E$4:$Y$98,11,FALSE)</f>
        <v>59528975.030000001</v>
      </c>
      <c r="S38" s="63">
        <f>VLOOKUP($E38,'[1]2.จัดสรรหลังSK'!$E$4:$Y$98,12,FALSE)</f>
        <v>11755760.98</v>
      </c>
      <c r="T38" s="65">
        <f>IF($I$105&lt;&gt;0,ROUND(ROUND(N38*J38,4)*Q38,2),VLOOKUP($E38,'[1]2.จัดสรรหลังSK'!$E$4:$Q$98,13,FALSE))</f>
        <v>24407067.399999999</v>
      </c>
      <c r="U38" s="63">
        <f>VLOOKUP($E38,'[1]2.จัดสรรหลังSK'!$E$4:$Y$98,14,FALSE)</f>
        <v>587809.92000000004</v>
      </c>
      <c r="V38" s="63">
        <f>VLOOKUP($E38,'[1]2.จัดสรรหลังSK'!$E$4:$Y$98,15,FALSE)</f>
        <v>0</v>
      </c>
      <c r="W38" s="67">
        <f t="shared" si="24"/>
        <v>96279613.329999998</v>
      </c>
      <c r="X38" s="67">
        <v>32482612</v>
      </c>
      <c r="Y38" s="63">
        <f t="shared" si="25"/>
        <v>63797001.329999998</v>
      </c>
      <c r="Z38" s="69">
        <v>0</v>
      </c>
      <c r="AA38" s="70">
        <f t="shared" si="26"/>
        <v>63797001.329999998</v>
      </c>
      <c r="AB38" s="67">
        <f>VLOOKUP($E38,'[1]2.จัดสรรหลังSK'!$E$4:$Y$98,21,FALSE)</f>
        <v>58018106.210000001</v>
      </c>
      <c r="AC38" s="67">
        <f t="shared" si="27"/>
        <v>5778895.1200000001</v>
      </c>
      <c r="AD38" s="71" t="str">
        <f t="shared" si="28"/>
        <v>ผ่าน</v>
      </c>
      <c r="AE38" s="72"/>
      <c r="AF38" s="67">
        <f t="shared" si="29"/>
        <v>63797001.329999998</v>
      </c>
      <c r="AG38" s="72"/>
      <c r="AH38" s="72"/>
      <c r="AI38" s="67">
        <f t="shared" si="30"/>
        <v>0</v>
      </c>
      <c r="AJ38" s="67">
        <f t="shared" si="31"/>
        <v>63797001.329999998</v>
      </c>
      <c r="AK38" s="67">
        <f t="shared" si="32"/>
        <v>63797001.329999998</v>
      </c>
    </row>
    <row r="39" spans="1:37" ht="14.25" customHeight="1" outlineLevel="2">
      <c r="A39" s="2">
        <v>525</v>
      </c>
      <c r="B39" s="3" t="s">
        <v>6</v>
      </c>
      <c r="C39" s="3" t="s">
        <v>41</v>
      </c>
      <c r="D39" s="3" t="s">
        <v>42</v>
      </c>
      <c r="E39" s="3" t="s">
        <v>69</v>
      </c>
      <c r="F39" s="3" t="s">
        <v>70</v>
      </c>
      <c r="G39" s="3">
        <v>118</v>
      </c>
      <c r="H39" s="63">
        <v>1.1000000000000001</v>
      </c>
      <c r="I39" s="64">
        <v>1.1499999999999999</v>
      </c>
      <c r="J39" s="65">
        <f t="shared" si="0"/>
        <v>1.1499999999999999</v>
      </c>
      <c r="K39" s="66">
        <v>88644</v>
      </c>
      <c r="L39" s="67">
        <f>VLOOKUP($E39,'[1]2.จัดสรรหลังSK'!$E$4:$Y$98,5,FALSE)</f>
        <v>1070.4212514101348</v>
      </c>
      <c r="M39" s="67">
        <f>VLOOKUP($E39,'[1]2.จัดสรรหลังSK'!$E$4:$Y$98,6,FALSE)</f>
        <v>211.38641081178648</v>
      </c>
      <c r="N39" s="68">
        <v>5100.3122999999996</v>
      </c>
      <c r="O39" s="68">
        <v>77.556100000000001</v>
      </c>
      <c r="P39" s="68">
        <v>0</v>
      </c>
      <c r="Q39" s="63">
        <f t="shared" si="1"/>
        <v>6992.7660449367131</v>
      </c>
      <c r="R39" s="63">
        <f>VLOOKUP($E39,'[1]2.จัดสรรหลังSK'!$E$4:$Y$98,11,FALSE)</f>
        <v>94886421.409999996</v>
      </c>
      <c r="S39" s="63">
        <f>VLOOKUP($E39,'[1]2.จัดสรรหลังSK'!$E$4:$Y$98,12,FALSE)</f>
        <v>18738137</v>
      </c>
      <c r="T39" s="65">
        <f>IF($I$105&lt;&gt;0,ROUND(ROUND(N39*J39,4)*Q39,2),VLOOKUP($E39,'[1]2.จัดสรรหลังSK'!$E$4:$Q$98,13,FALSE))</f>
        <v>41015083.960000001</v>
      </c>
      <c r="U39" s="63">
        <f>VLOOKUP($E39,'[1]2.จัดสรรหลังSK'!$E$4:$Y$98,14,FALSE)</f>
        <v>744538.56</v>
      </c>
      <c r="V39" s="63">
        <f>VLOOKUP($E39,'[1]2.จัดสรรหลังSK'!$E$4:$Y$98,15,FALSE)</f>
        <v>0</v>
      </c>
      <c r="W39" s="67">
        <f t="shared" si="24"/>
        <v>155384180.93000001</v>
      </c>
      <c r="X39" s="67">
        <v>50374021</v>
      </c>
      <c r="Y39" s="63">
        <f t="shared" si="25"/>
        <v>105010159.93000001</v>
      </c>
      <c r="Z39" s="69">
        <v>0</v>
      </c>
      <c r="AA39" s="70">
        <f t="shared" si="26"/>
        <v>105010159.93000001</v>
      </c>
      <c r="AB39" s="67">
        <f>VLOOKUP($E39,'[1]2.จัดสรรหลังSK'!$E$4:$Y$98,21,FALSE)</f>
        <v>92587241.439999998</v>
      </c>
      <c r="AC39" s="67">
        <f t="shared" si="27"/>
        <v>12422918.49</v>
      </c>
      <c r="AD39" s="71" t="str">
        <f t="shared" si="28"/>
        <v>ผ่าน</v>
      </c>
      <c r="AE39" s="72"/>
      <c r="AF39" s="67">
        <f t="shared" si="29"/>
        <v>105010159.93000001</v>
      </c>
      <c r="AG39" s="72"/>
      <c r="AH39" s="72"/>
      <c r="AI39" s="67">
        <f t="shared" si="30"/>
        <v>0</v>
      </c>
      <c r="AJ39" s="67">
        <f t="shared" si="31"/>
        <v>105010159.93000001</v>
      </c>
      <c r="AK39" s="67">
        <f t="shared" si="32"/>
        <v>105010159.93000001</v>
      </c>
    </row>
    <row r="40" spans="1:37" ht="14.25" customHeight="1" outlineLevel="2">
      <c r="A40" s="2">
        <v>526</v>
      </c>
      <c r="B40" s="3" t="s">
        <v>6</v>
      </c>
      <c r="C40" s="3" t="s">
        <v>41</v>
      </c>
      <c r="D40" s="3" t="s">
        <v>42</v>
      </c>
      <c r="E40" s="3" t="s">
        <v>71</v>
      </c>
      <c r="F40" s="3" t="s">
        <v>72</v>
      </c>
      <c r="G40" s="3">
        <v>30</v>
      </c>
      <c r="H40" s="63">
        <v>1.3</v>
      </c>
      <c r="I40" s="64"/>
      <c r="J40" s="65">
        <f t="shared" si="0"/>
        <v>1.3</v>
      </c>
      <c r="K40" s="66">
        <v>22384</v>
      </c>
      <c r="L40" s="67">
        <f>VLOOKUP($E40,'[1]2.จัดสรรหลังSK'!$E$4:$Y$98,5,FALSE)</f>
        <v>1488.0644013581129</v>
      </c>
      <c r="M40" s="67">
        <f>VLOOKUP($E40,'[1]2.จัดสรรหลังSK'!$E$4:$Y$98,6,FALSE)</f>
        <v>293.86243254110082</v>
      </c>
      <c r="N40" s="68">
        <v>1282.1799000000001</v>
      </c>
      <c r="O40" s="68">
        <v>8.1761999999999997</v>
      </c>
      <c r="P40" s="68">
        <v>0</v>
      </c>
      <c r="Q40" s="63">
        <f t="shared" si="1"/>
        <v>6992.7660449367131</v>
      </c>
      <c r="R40" s="63">
        <f>VLOOKUP($E40,'[1]2.จัดสรรหลังSK'!$E$4:$Y$98,11,FALSE)</f>
        <v>33308833.559999999</v>
      </c>
      <c r="S40" s="63">
        <f>VLOOKUP($E40,'[1]2.จัดสรรหลังSK'!$E$4:$Y$98,12,FALSE)</f>
        <v>6577816.6900000004</v>
      </c>
      <c r="T40" s="65">
        <f>IF($I$105&lt;&gt;0,ROUND(ROUND(N40*J40,4)*Q40,2),VLOOKUP($E40,'[1]2.จัดสรรหลังSK'!$E$4:$Q$98,13,FALSE))</f>
        <v>11655779.5</v>
      </c>
      <c r="U40" s="63">
        <f>VLOOKUP($E40,'[1]2.จัดสรรหลังSK'!$E$4:$Y$98,14,FALSE)</f>
        <v>78491.520000000004</v>
      </c>
      <c r="V40" s="63">
        <f>VLOOKUP($E40,'[1]2.จัดสรรหลังSK'!$E$4:$Y$98,15,FALSE)</f>
        <v>0</v>
      </c>
      <c r="W40" s="67">
        <f t="shared" si="24"/>
        <v>51620921.270000003</v>
      </c>
      <c r="X40" s="67">
        <v>17459872</v>
      </c>
      <c r="Y40" s="63">
        <f t="shared" si="25"/>
        <v>34161049.270000003</v>
      </c>
      <c r="Z40" s="69">
        <v>0</v>
      </c>
      <c r="AA40" s="70">
        <f t="shared" si="26"/>
        <v>34161049.270000003</v>
      </c>
      <c r="AB40" s="67">
        <f>VLOOKUP($E40,'[1]2.จัดสรรหลังSK'!$E$4:$Y$98,21,FALSE)</f>
        <v>27397422.260000002</v>
      </c>
      <c r="AC40" s="67">
        <f t="shared" si="27"/>
        <v>6763627.0099999998</v>
      </c>
      <c r="AD40" s="71" t="str">
        <f t="shared" si="28"/>
        <v>ผ่าน</v>
      </c>
      <c r="AE40" s="72"/>
      <c r="AF40" s="67">
        <f t="shared" si="29"/>
        <v>34161049.270000003</v>
      </c>
      <c r="AG40" s="72"/>
      <c r="AH40" s="72"/>
      <c r="AI40" s="67">
        <f t="shared" si="30"/>
        <v>0</v>
      </c>
      <c r="AJ40" s="67">
        <f t="shared" si="31"/>
        <v>34161049.270000003</v>
      </c>
      <c r="AK40" s="67">
        <f t="shared" si="32"/>
        <v>34161049.270000003</v>
      </c>
    </row>
    <row r="41" spans="1:37" ht="14.25" customHeight="1" outlineLevel="2">
      <c r="A41" s="2">
        <v>527</v>
      </c>
      <c r="B41" s="3" t="s">
        <v>6</v>
      </c>
      <c r="C41" s="3" t="s">
        <v>41</v>
      </c>
      <c r="D41" s="3" t="s">
        <v>42</v>
      </c>
      <c r="E41" s="3" t="s">
        <v>73</v>
      </c>
      <c r="F41" s="3" t="s">
        <v>74</v>
      </c>
      <c r="G41" s="3">
        <v>30</v>
      </c>
      <c r="H41" s="63">
        <v>1.3</v>
      </c>
      <c r="I41" s="64"/>
      <c r="J41" s="65">
        <f t="shared" si="0"/>
        <v>1.3</v>
      </c>
      <c r="K41" s="66">
        <v>21097</v>
      </c>
      <c r="L41" s="67">
        <f>VLOOKUP($E41,'[1]2.จัดสรรหลังSK'!$E$4:$Y$98,5,FALSE)</f>
        <v>1504.6393691046121</v>
      </c>
      <c r="M41" s="67">
        <f>VLOOKUP($E41,'[1]2.จัดสรรหลังSK'!$E$4:$Y$98,6,FALSE)</f>
        <v>297.13565151443333</v>
      </c>
      <c r="N41" s="68">
        <v>1011.5075000000001</v>
      </c>
      <c r="O41" s="68">
        <v>17.324999999999999</v>
      </c>
      <c r="P41" s="68">
        <v>0</v>
      </c>
      <c r="Q41" s="63">
        <f t="shared" si="1"/>
        <v>6992.7660449367131</v>
      </c>
      <c r="R41" s="63">
        <f>VLOOKUP($E41,'[1]2.จัดสรรหลังSK'!$E$4:$Y$98,11,FALSE)</f>
        <v>31743376.77</v>
      </c>
      <c r="S41" s="63">
        <f>VLOOKUP($E41,'[1]2.จัดสรรหลังSK'!$E$4:$Y$98,12,FALSE)</f>
        <v>6268670.8399999999</v>
      </c>
      <c r="T41" s="65">
        <f>IF($I$105&lt;&gt;0,ROUND(ROUND(N41*J41,4)*Q41,2),VLOOKUP($E41,'[1]2.จัดสรรหลังSK'!$E$4:$Q$98,13,FALSE))</f>
        <v>9195206.2400000002</v>
      </c>
      <c r="U41" s="63">
        <f>VLOOKUP($E41,'[1]2.จัดสรรหลังSK'!$E$4:$Y$98,14,FALSE)</f>
        <v>166320</v>
      </c>
      <c r="V41" s="63">
        <f>VLOOKUP($E41,'[1]2.จัดสรรหลังSK'!$E$4:$Y$98,15,FALSE)</f>
        <v>0</v>
      </c>
      <c r="W41" s="67">
        <f t="shared" si="24"/>
        <v>47373573.850000001</v>
      </c>
      <c r="X41" s="67">
        <v>22188463</v>
      </c>
      <c r="Y41" s="63">
        <f t="shared" si="25"/>
        <v>25185110.850000001</v>
      </c>
      <c r="Z41" s="69">
        <v>0</v>
      </c>
      <c r="AA41" s="70">
        <f t="shared" si="26"/>
        <v>25185110.850000001</v>
      </c>
      <c r="AB41" s="67">
        <f>VLOOKUP($E41,'[1]2.จัดสรรหลังSK'!$E$4:$Y$98,21,FALSE)</f>
        <v>22916882.82</v>
      </c>
      <c r="AC41" s="67">
        <f t="shared" si="27"/>
        <v>2268228.0299999998</v>
      </c>
      <c r="AD41" s="71" t="str">
        <f t="shared" si="28"/>
        <v>ผ่าน</v>
      </c>
      <c r="AE41" s="72"/>
      <c r="AF41" s="67">
        <f t="shared" si="29"/>
        <v>25185110.850000001</v>
      </c>
      <c r="AG41" s="72"/>
      <c r="AH41" s="72"/>
      <c r="AI41" s="67">
        <f t="shared" si="30"/>
        <v>0</v>
      </c>
      <c r="AJ41" s="67">
        <f t="shared" si="31"/>
        <v>25185110.850000001</v>
      </c>
      <c r="AK41" s="67">
        <f t="shared" si="32"/>
        <v>25185110.850000001</v>
      </c>
    </row>
    <row r="42" spans="1:37" ht="14.25" customHeight="1" outlineLevel="2">
      <c r="A42" s="2">
        <v>528</v>
      </c>
      <c r="B42" s="3" t="s">
        <v>6</v>
      </c>
      <c r="C42" s="3" t="s">
        <v>41</v>
      </c>
      <c r="D42" s="3" t="s">
        <v>42</v>
      </c>
      <c r="E42" s="3" t="s">
        <v>75</v>
      </c>
      <c r="F42" s="3" t="s">
        <v>76</v>
      </c>
      <c r="G42" s="3">
        <v>36</v>
      </c>
      <c r="H42" s="63">
        <v>1.3</v>
      </c>
      <c r="I42" s="64"/>
      <c r="J42" s="65">
        <f t="shared" si="0"/>
        <v>1.3</v>
      </c>
      <c r="K42" s="66">
        <v>23846</v>
      </c>
      <c r="L42" s="67">
        <f>VLOOKUP($E42,'[1]2.จัดสรรหลังSK'!$E$4:$Y$98,5,FALSE)</f>
        <v>1471.4062551371301</v>
      </c>
      <c r="M42" s="67">
        <f>VLOOKUP($E42,'[1]2.จัดสรรหลังSK'!$E$4:$Y$98,6,FALSE)</f>
        <v>290.57278788895411</v>
      </c>
      <c r="N42" s="68">
        <v>1333.4483</v>
      </c>
      <c r="O42" s="68">
        <v>18.182600000000001</v>
      </c>
      <c r="P42" s="68">
        <v>0</v>
      </c>
      <c r="Q42" s="63">
        <f t="shared" si="1"/>
        <v>6992.7660449367131</v>
      </c>
      <c r="R42" s="63">
        <f>VLOOKUP($E42,'[1]2.จัดสรรหลังSK'!$E$4:$Y$98,11,FALSE)</f>
        <v>35087153.560000002</v>
      </c>
      <c r="S42" s="63">
        <f>VLOOKUP($E42,'[1]2.จัดสรรหลังSK'!$E$4:$Y$98,12,FALSE)</f>
        <v>6928998.7000000002</v>
      </c>
      <c r="T42" s="65">
        <f>IF($I$105&lt;&gt;0,ROUND(ROUND(N42*J42,4)*Q42,2),VLOOKUP($E42,'[1]2.จัดสรรหลังSK'!$E$4:$Q$98,13,FALSE))</f>
        <v>12121839.66</v>
      </c>
      <c r="U42" s="63">
        <f>VLOOKUP($E42,'[1]2.จัดสรรหลังSK'!$E$4:$Y$98,14,FALSE)</f>
        <v>174552.95999999999</v>
      </c>
      <c r="V42" s="63">
        <f>VLOOKUP($E42,'[1]2.จัดสรรหลังSK'!$E$4:$Y$98,15,FALSE)</f>
        <v>0</v>
      </c>
      <c r="W42" s="67">
        <f t="shared" si="24"/>
        <v>54312544.880000003</v>
      </c>
      <c r="X42" s="67">
        <v>17124067</v>
      </c>
      <c r="Y42" s="63">
        <f t="shared" si="25"/>
        <v>37188477.880000003</v>
      </c>
      <c r="Z42" s="69">
        <v>0</v>
      </c>
      <c r="AA42" s="70">
        <f t="shared" si="26"/>
        <v>37188477.880000003</v>
      </c>
      <c r="AB42" s="67">
        <f>VLOOKUP($E42,'[1]2.จัดสรรหลังSK'!$E$4:$Y$98,21,FALSE)</f>
        <v>30304289.620000001</v>
      </c>
      <c r="AC42" s="67">
        <f t="shared" si="27"/>
        <v>6884188.2599999998</v>
      </c>
      <c r="AD42" s="71" t="str">
        <f t="shared" si="28"/>
        <v>ผ่าน</v>
      </c>
      <c r="AE42" s="72"/>
      <c r="AF42" s="67">
        <f t="shared" si="29"/>
        <v>37188477.880000003</v>
      </c>
      <c r="AG42" s="72"/>
      <c r="AH42" s="72"/>
      <c r="AI42" s="67">
        <f t="shared" si="30"/>
        <v>0</v>
      </c>
      <c r="AJ42" s="67">
        <f t="shared" si="31"/>
        <v>37188477.880000003</v>
      </c>
      <c r="AK42" s="67">
        <f t="shared" si="32"/>
        <v>37188477.880000003</v>
      </c>
    </row>
    <row r="43" spans="1:37" ht="14.25" customHeight="1" outlineLevel="2">
      <c r="A43" s="2">
        <v>529</v>
      </c>
      <c r="B43" s="3" t="s">
        <v>6</v>
      </c>
      <c r="C43" s="3" t="s">
        <v>41</v>
      </c>
      <c r="D43" s="3" t="s">
        <v>42</v>
      </c>
      <c r="E43" s="3" t="s">
        <v>77</v>
      </c>
      <c r="F43" s="3" t="s">
        <v>78</v>
      </c>
      <c r="G43" s="3">
        <v>30</v>
      </c>
      <c r="H43" s="63">
        <v>1.35</v>
      </c>
      <c r="I43" s="64"/>
      <c r="J43" s="65">
        <f t="shared" si="0"/>
        <v>1.35</v>
      </c>
      <c r="K43" s="66">
        <v>19462</v>
      </c>
      <c r="L43" s="67">
        <f>VLOOKUP($E43,'[1]2.จัดสรรหลังSK'!$E$4:$Y$98,5,FALSE)</f>
        <v>1524.0540674134211</v>
      </c>
      <c r="M43" s="67">
        <f>VLOOKUP($E43,'[1]2.จัดสรรหลังSK'!$E$4:$Y$98,6,FALSE)</f>
        <v>300.96965933614223</v>
      </c>
      <c r="N43" s="68">
        <v>1482.5989</v>
      </c>
      <c r="O43" s="68">
        <v>23.538900000000002</v>
      </c>
      <c r="P43" s="68">
        <v>0</v>
      </c>
      <c r="Q43" s="63">
        <f t="shared" si="1"/>
        <v>6992.7660449367131</v>
      </c>
      <c r="R43" s="63">
        <f>VLOOKUP($E43,'[1]2.จัดสรรหลังSK'!$E$4:$Y$98,11,FALSE)</f>
        <v>29661140.260000002</v>
      </c>
      <c r="S43" s="63">
        <f>VLOOKUP($E43,'[1]2.จัดสรรหลังSK'!$E$4:$Y$98,12,FALSE)</f>
        <v>5857471.5099999998</v>
      </c>
      <c r="T43" s="65">
        <f>IF($I$105&lt;&gt;0,ROUND(ROUND(N43*J43,4)*Q43,2),VLOOKUP($E43,'[1]2.จัดสรรหลังSK'!$E$4:$Q$98,13,FALSE))</f>
        <v>13996080.68</v>
      </c>
      <c r="U43" s="63">
        <f>VLOOKUP($E43,'[1]2.จัดสรรหลังSK'!$E$4:$Y$98,14,FALSE)</f>
        <v>225973.44</v>
      </c>
      <c r="V43" s="63">
        <f>VLOOKUP($E43,'[1]2.จัดสรรหลังSK'!$E$4:$Y$98,15,FALSE)</f>
        <v>0</v>
      </c>
      <c r="W43" s="67">
        <f t="shared" si="24"/>
        <v>49740665.890000001</v>
      </c>
      <c r="X43" s="67">
        <v>19315577</v>
      </c>
      <c r="Y43" s="63">
        <f t="shared" si="25"/>
        <v>30425088.890000001</v>
      </c>
      <c r="Z43" s="69">
        <v>0</v>
      </c>
      <c r="AA43" s="70">
        <f t="shared" si="26"/>
        <v>30425088.890000001</v>
      </c>
      <c r="AB43" s="67">
        <f>VLOOKUP($E43,'[1]2.จัดสรรหลังSK'!$E$4:$Y$98,21,FALSE)</f>
        <v>25616749.850000001</v>
      </c>
      <c r="AC43" s="67">
        <f t="shared" si="27"/>
        <v>4808339.04</v>
      </c>
      <c r="AD43" s="71" t="str">
        <f t="shared" si="28"/>
        <v>ผ่าน</v>
      </c>
      <c r="AE43" s="72"/>
      <c r="AF43" s="67">
        <f t="shared" si="29"/>
        <v>30425088.890000001</v>
      </c>
      <c r="AG43" s="72"/>
      <c r="AH43" s="72"/>
      <c r="AI43" s="67">
        <f t="shared" si="30"/>
        <v>0</v>
      </c>
      <c r="AJ43" s="67">
        <f t="shared" si="31"/>
        <v>30425088.890000001</v>
      </c>
      <c r="AK43" s="67">
        <f t="shared" si="32"/>
        <v>30425088.890000001</v>
      </c>
    </row>
    <row r="44" spans="1:37" ht="14.25" customHeight="1" outlineLevel="2">
      <c r="A44" s="2">
        <v>530</v>
      </c>
      <c r="B44" s="3" t="s">
        <v>6</v>
      </c>
      <c r="C44" s="3" t="s">
        <v>41</v>
      </c>
      <c r="D44" s="3" t="s">
        <v>42</v>
      </c>
      <c r="E44" s="3" t="s">
        <v>79</v>
      </c>
      <c r="F44" s="3" t="s">
        <v>80</v>
      </c>
      <c r="G44" s="3">
        <v>139</v>
      </c>
      <c r="H44" s="63">
        <v>1.1000000000000001</v>
      </c>
      <c r="I44" s="64">
        <v>1.1499999999999999</v>
      </c>
      <c r="J44" s="65">
        <f t="shared" si="0"/>
        <v>1.1499999999999999</v>
      </c>
      <c r="K44" s="66">
        <v>98564</v>
      </c>
      <c r="L44" s="67">
        <f>VLOOKUP($E44,'[1]2.จัดสรรหลังSK'!$E$4:$Y$98,5,FALSE)</f>
        <v>1041.9852767744815</v>
      </c>
      <c r="M44" s="67">
        <f>VLOOKUP($E44,'[1]2.จัดสรรหลังSK'!$E$4:$Y$98,6,FALSE)</f>
        <v>205.77088460289761</v>
      </c>
      <c r="N44" s="68">
        <v>6844.8869000000004</v>
      </c>
      <c r="O44" s="68">
        <v>155.17359999999999</v>
      </c>
      <c r="P44" s="68">
        <v>42.033099999999997</v>
      </c>
      <c r="Q44" s="63">
        <f t="shared" si="1"/>
        <v>6992.7660449367131</v>
      </c>
      <c r="R44" s="63">
        <f>VLOOKUP($E44,'[1]2.จัดสรรหลังSK'!$E$4:$Y$98,11,FALSE)</f>
        <v>102702236.81999999</v>
      </c>
      <c r="S44" s="63">
        <f>VLOOKUP($E44,'[1]2.จัดสรรหลังSK'!$E$4:$Y$98,12,FALSE)</f>
        <v>20281601.469999999</v>
      </c>
      <c r="T44" s="65">
        <f>IF($I$105&lt;&gt;0,ROUND(ROUND(N44*J44,4)*Q44,2),VLOOKUP($E44,'[1]2.จัดสรรหลังSK'!$E$4:$Q$98,13,FALSE))</f>
        <v>55044396.359999999</v>
      </c>
      <c r="U44" s="63">
        <f>VLOOKUP($E44,'[1]2.จัดสรรหลังSK'!$E$4:$Y$98,14,FALSE)</f>
        <v>1489666.56</v>
      </c>
      <c r="V44" s="63">
        <f>VLOOKUP($E44,'[1]2.จัดสรรหลังSK'!$E$4:$Y$98,15,FALSE)</f>
        <v>378297.9</v>
      </c>
      <c r="W44" s="67">
        <f t="shared" si="24"/>
        <v>179896199.10999998</v>
      </c>
      <c r="X44" s="67">
        <v>59770968</v>
      </c>
      <c r="Y44" s="63">
        <f t="shared" si="25"/>
        <v>120125231.11</v>
      </c>
      <c r="Z44" s="69">
        <v>0</v>
      </c>
      <c r="AA44" s="70">
        <f t="shared" si="26"/>
        <v>120125231.11</v>
      </c>
      <c r="AB44" s="67">
        <f>VLOOKUP($E44,'[1]2.จัดสรรหลังSK'!$E$4:$Y$98,21,FALSE)</f>
        <v>115699650.34999999</v>
      </c>
      <c r="AC44" s="67">
        <f t="shared" si="27"/>
        <v>4425580.76</v>
      </c>
      <c r="AD44" s="71" t="str">
        <f t="shared" si="28"/>
        <v>ผ่าน</v>
      </c>
      <c r="AE44" s="72"/>
      <c r="AF44" s="67">
        <f t="shared" si="29"/>
        <v>120125231.11</v>
      </c>
      <c r="AG44" s="72"/>
      <c r="AH44" s="72"/>
      <c r="AI44" s="67">
        <f t="shared" si="30"/>
        <v>0</v>
      </c>
      <c r="AJ44" s="67">
        <f t="shared" si="31"/>
        <v>120125231.11</v>
      </c>
      <c r="AK44" s="67">
        <f t="shared" si="32"/>
        <v>120125231.11</v>
      </c>
    </row>
    <row r="45" spans="1:37" ht="14.25" customHeight="1" outlineLevel="2">
      <c r="A45" s="2">
        <v>531</v>
      </c>
      <c r="B45" s="3" t="s">
        <v>6</v>
      </c>
      <c r="C45" s="3" t="s">
        <v>41</v>
      </c>
      <c r="D45" s="3" t="s">
        <v>42</v>
      </c>
      <c r="E45" s="3" t="s">
        <v>81</v>
      </c>
      <c r="F45" s="3" t="s">
        <v>82</v>
      </c>
      <c r="G45" s="3">
        <v>30</v>
      </c>
      <c r="H45" s="63">
        <v>1.35</v>
      </c>
      <c r="I45" s="64"/>
      <c r="J45" s="65">
        <f t="shared" si="0"/>
        <v>1.35</v>
      </c>
      <c r="K45" s="66">
        <v>18224</v>
      </c>
      <c r="L45" s="67">
        <f>VLOOKUP($E45,'[1]2.จัดสรรหลังSK'!$E$4:$Y$98,5,FALSE)</f>
        <v>1533.152052787533</v>
      </c>
      <c r="M45" s="67">
        <f>VLOOKUP($E45,'[1]2.จัดสรรหลังSK'!$E$4:$Y$98,6,FALSE)</f>
        <v>302.76632627304656</v>
      </c>
      <c r="N45" s="68">
        <v>940.37959999999998</v>
      </c>
      <c r="O45" s="68">
        <v>8.8940999999999999</v>
      </c>
      <c r="P45" s="68">
        <v>0</v>
      </c>
      <c r="Q45" s="63">
        <f t="shared" si="1"/>
        <v>6992.7660449367131</v>
      </c>
      <c r="R45" s="63">
        <f>VLOOKUP($E45,'[1]2.จัดสรรหลังSK'!$E$4:$Y$98,11,FALSE)</f>
        <v>27940163.010000002</v>
      </c>
      <c r="S45" s="63">
        <f>VLOOKUP($E45,'[1]2.จัดสรรหลังSK'!$E$4:$Y$98,12,FALSE)</f>
        <v>5517613.5300000003</v>
      </c>
      <c r="T45" s="65">
        <f>IF($I$105&lt;&gt;0,ROUND(ROUND(N45*J45,4)*Q45,2),VLOOKUP($E45,'[1]2.จัดสรรหลังSK'!$E$4:$Q$98,13,FALSE))</f>
        <v>8877403.9000000004</v>
      </c>
      <c r="U45" s="63">
        <f>VLOOKUP($E45,'[1]2.จัดสรรหลังSK'!$E$4:$Y$98,14,FALSE)</f>
        <v>85383.360000000001</v>
      </c>
      <c r="V45" s="63">
        <f>VLOOKUP($E45,'[1]2.จัดสรรหลังSK'!$E$4:$Y$98,15,FALSE)</f>
        <v>0</v>
      </c>
      <c r="W45" s="67">
        <f t="shared" si="24"/>
        <v>42420563.800000004</v>
      </c>
      <c r="X45" s="67">
        <v>12889643</v>
      </c>
      <c r="Y45" s="63">
        <f t="shared" si="25"/>
        <v>29530920.800000001</v>
      </c>
      <c r="Z45" s="69">
        <v>0</v>
      </c>
      <c r="AA45" s="70">
        <f t="shared" si="26"/>
        <v>29530920.800000001</v>
      </c>
      <c r="AB45" s="67">
        <f>VLOOKUP($E45,'[1]2.จัดสรรหลังSK'!$E$4:$Y$98,21,FALSE)</f>
        <v>23670246.789999999</v>
      </c>
      <c r="AC45" s="67">
        <f t="shared" si="27"/>
        <v>5860674.0099999998</v>
      </c>
      <c r="AD45" s="71" t="str">
        <f t="shared" si="28"/>
        <v>ผ่าน</v>
      </c>
      <c r="AE45" s="72"/>
      <c r="AF45" s="67">
        <f t="shared" si="29"/>
        <v>29530920.800000001</v>
      </c>
      <c r="AG45" s="72"/>
      <c r="AH45" s="72"/>
      <c r="AI45" s="67">
        <f t="shared" si="30"/>
        <v>0</v>
      </c>
      <c r="AJ45" s="67">
        <f t="shared" si="31"/>
        <v>29530920.800000001</v>
      </c>
      <c r="AK45" s="67">
        <f t="shared" si="32"/>
        <v>29530920.800000001</v>
      </c>
    </row>
    <row r="46" spans="1:37" ht="14.25" customHeight="1" outlineLevel="2">
      <c r="A46" s="2">
        <v>532</v>
      </c>
      <c r="B46" s="3" t="s">
        <v>6</v>
      </c>
      <c r="C46" s="3" t="s">
        <v>41</v>
      </c>
      <c r="D46" s="3" t="s">
        <v>42</v>
      </c>
      <c r="E46" s="3" t="s">
        <v>83</v>
      </c>
      <c r="F46" s="3" t="s">
        <v>84</v>
      </c>
      <c r="G46" s="3">
        <v>30</v>
      </c>
      <c r="H46" s="63">
        <v>1.35</v>
      </c>
      <c r="I46" s="64"/>
      <c r="J46" s="65">
        <f t="shared" si="0"/>
        <v>1.35</v>
      </c>
      <c r="K46" s="66">
        <v>19204</v>
      </c>
      <c r="L46" s="67">
        <f>VLOOKUP($E46,'[1]2.จัดสรรหลังSK'!$E$4:$Y$98,5,FALSE)</f>
        <v>1525.853337325557</v>
      </c>
      <c r="M46" s="67">
        <f>VLOOKUP($E46,'[1]2.จัดสรรหลังSK'!$E$4:$Y$98,6,FALSE)</f>
        <v>301.32497812955631</v>
      </c>
      <c r="N46" s="68">
        <v>727.15110000000004</v>
      </c>
      <c r="O46" s="68">
        <v>17.854199999999999</v>
      </c>
      <c r="P46" s="68">
        <v>0</v>
      </c>
      <c r="Q46" s="63">
        <f t="shared" si="1"/>
        <v>6992.7660449367131</v>
      </c>
      <c r="R46" s="63">
        <f>VLOOKUP($E46,'[1]2.จัดสรรหลังSK'!$E$4:$Y$98,11,FALSE)</f>
        <v>29302487.489999998</v>
      </c>
      <c r="S46" s="63">
        <f>VLOOKUP($E46,'[1]2.จัดสรรหลังSK'!$E$4:$Y$98,12,FALSE)</f>
        <v>5786644.8799999999</v>
      </c>
      <c r="T46" s="65">
        <f>IF($I$105&lt;&gt;0,ROUND(ROUND(N46*J46,4)*Q46,2),VLOOKUP($E46,'[1]2.จัดสรรหลังSK'!$E$4:$Q$98,13,FALSE))</f>
        <v>6864476.7599999998</v>
      </c>
      <c r="U46" s="63">
        <f>VLOOKUP($E46,'[1]2.จัดสรรหลังSK'!$E$4:$Y$98,14,FALSE)</f>
        <v>171400.32000000001</v>
      </c>
      <c r="V46" s="63">
        <f>VLOOKUP($E46,'[1]2.จัดสรรหลังSK'!$E$4:$Y$98,15,FALSE)</f>
        <v>0</v>
      </c>
      <c r="W46" s="67">
        <f t="shared" si="24"/>
        <v>42125009.449999996</v>
      </c>
      <c r="X46" s="67">
        <v>14154954</v>
      </c>
      <c r="Y46" s="63">
        <f t="shared" si="25"/>
        <v>27970055.449999999</v>
      </c>
      <c r="Z46" s="69">
        <v>0</v>
      </c>
      <c r="AA46" s="70">
        <f t="shared" si="26"/>
        <v>27970055.449999999</v>
      </c>
      <c r="AB46" s="67">
        <f>VLOOKUP($E46,'[1]2.จัดสรรหลังSK'!$E$4:$Y$98,21,FALSE)</f>
        <v>22235059.690000001</v>
      </c>
      <c r="AC46" s="67">
        <f t="shared" si="27"/>
        <v>5734995.7599999998</v>
      </c>
      <c r="AD46" s="71" t="str">
        <f t="shared" si="28"/>
        <v>ผ่าน</v>
      </c>
      <c r="AE46" s="72"/>
      <c r="AF46" s="67">
        <f t="shared" si="29"/>
        <v>27970055.449999999</v>
      </c>
      <c r="AG46" s="72"/>
      <c r="AH46" s="72"/>
      <c r="AI46" s="67">
        <f t="shared" si="30"/>
        <v>0</v>
      </c>
      <c r="AJ46" s="67">
        <f t="shared" si="31"/>
        <v>27970055.449999999</v>
      </c>
      <c r="AK46" s="67">
        <f t="shared" si="32"/>
        <v>27970055.449999999</v>
      </c>
    </row>
    <row r="47" spans="1:37" ht="14.25" customHeight="1" outlineLevel="1">
      <c r="A47" s="4"/>
      <c r="B47" s="5"/>
      <c r="C47" s="73"/>
      <c r="D47" s="6" t="s">
        <v>85</v>
      </c>
      <c r="E47" s="5"/>
      <c r="F47" s="5"/>
      <c r="G47" s="5"/>
      <c r="H47" s="74"/>
      <c r="I47" s="75"/>
      <c r="J47" s="76"/>
      <c r="K47" s="77">
        <f>SUBTOTAL(9,K26:K46)</f>
        <v>1159291</v>
      </c>
      <c r="L47" s="78"/>
      <c r="M47" s="78"/>
      <c r="N47" s="79">
        <f t="shared" ref="N47:AC47" si="33">SUBTOTAL(9,N26:N46)</f>
        <v>179445.75459999999</v>
      </c>
      <c r="O47" s="79">
        <f t="shared" si="33"/>
        <v>3970.0702000000001</v>
      </c>
      <c r="P47" s="79">
        <f t="shared" si="33"/>
        <v>3089.0718000000002</v>
      </c>
      <c r="Q47" s="74"/>
      <c r="R47" s="74">
        <f t="shared" si="33"/>
        <v>1313067893.1999998</v>
      </c>
      <c r="S47" s="74">
        <f t="shared" si="33"/>
        <v>259304183.94999996</v>
      </c>
      <c r="T47" s="76">
        <f t="shared" si="33"/>
        <v>1335914666.6100001</v>
      </c>
      <c r="U47" s="74">
        <f t="shared" si="33"/>
        <v>38112673.920000009</v>
      </c>
      <c r="V47" s="74">
        <f t="shared" si="33"/>
        <v>27801646.199999999</v>
      </c>
      <c r="W47" s="78">
        <f t="shared" si="33"/>
        <v>2974201063.8799996</v>
      </c>
      <c r="X47" s="78">
        <f t="shared" si="33"/>
        <v>1195938268</v>
      </c>
      <c r="Y47" s="74">
        <f t="shared" si="33"/>
        <v>1778262795.8799999</v>
      </c>
      <c r="Z47" s="74">
        <f t="shared" si="33"/>
        <v>9413153.4600000009</v>
      </c>
      <c r="AA47" s="80">
        <f t="shared" si="33"/>
        <v>1787675949.3399999</v>
      </c>
      <c r="AB47" s="78">
        <f t="shared" si="33"/>
        <v>1618537065.3099997</v>
      </c>
      <c r="AC47" s="78">
        <f t="shared" si="33"/>
        <v>169138884.02999997</v>
      </c>
      <c r="AD47" s="81"/>
      <c r="AE47" s="82">
        <f t="shared" ref="AE47:AK47" si="34">SUBTOTAL(9,AE26:AE46)</f>
        <v>0</v>
      </c>
      <c r="AF47" s="78">
        <f t="shared" si="34"/>
        <v>1787675949.3399999</v>
      </c>
      <c r="AG47" s="82">
        <f t="shared" si="34"/>
        <v>0</v>
      </c>
      <c r="AH47" s="82">
        <f t="shared" si="34"/>
        <v>0</v>
      </c>
      <c r="AI47" s="78">
        <f t="shared" si="34"/>
        <v>0</v>
      </c>
      <c r="AJ47" s="78">
        <f t="shared" si="34"/>
        <v>1787675949.3399999</v>
      </c>
      <c r="AK47" s="78">
        <f t="shared" si="34"/>
        <v>1787675949.3399999</v>
      </c>
    </row>
    <row r="48" spans="1:37" ht="14.25" customHeight="1" outlineLevel="2">
      <c r="A48" s="51">
        <v>533</v>
      </c>
      <c r="B48" s="52" t="s">
        <v>6</v>
      </c>
      <c r="C48" s="3" t="s">
        <v>86</v>
      </c>
      <c r="D48" s="52" t="s">
        <v>87</v>
      </c>
      <c r="E48" s="52" t="s">
        <v>88</v>
      </c>
      <c r="F48" s="52" t="s">
        <v>89</v>
      </c>
      <c r="G48" s="52">
        <v>577</v>
      </c>
      <c r="H48" s="53">
        <v>1.1000000000000001</v>
      </c>
      <c r="I48" s="54"/>
      <c r="J48" s="55">
        <f t="shared" si="0"/>
        <v>1.1000000000000001</v>
      </c>
      <c r="K48" s="56">
        <v>92905</v>
      </c>
      <c r="L48" s="57">
        <f>VLOOKUP($E48,'[1]2.จัดสรรหลังSK'!$E$4:$Y$98,5,FALSE)</f>
        <v>1092.2474006781122</v>
      </c>
      <c r="M48" s="57">
        <f>VLOOKUP($E48,'[1]2.จัดสรรหลังSK'!$E$4:$Y$98,6,FALSE)</f>
        <v>210.12640159302512</v>
      </c>
      <c r="N48" s="58">
        <v>40982.7598</v>
      </c>
      <c r="O48" s="58">
        <v>940.09939999999995</v>
      </c>
      <c r="P48" s="58">
        <v>3496.7195999999999</v>
      </c>
      <c r="Q48" s="53">
        <f t="shared" si="1"/>
        <v>6992.7660449367131</v>
      </c>
      <c r="R48" s="53">
        <f>VLOOKUP($E48,'[1]2.จัดสรรหลังSK'!$E$4:$Y$98,11,FALSE)</f>
        <v>101475244.76000001</v>
      </c>
      <c r="S48" s="53">
        <f>VLOOKUP($E48,'[1]2.จัดสรรหลังSK'!$E$4:$Y$98,12,FALSE)</f>
        <v>19521793.34</v>
      </c>
      <c r="T48" s="55">
        <f>IF($I$105&lt;&gt;0,ROUND(ROUND(N48*J48,4)*Q48,2),VLOOKUP($E48,'[1]2.จัดสรรหลังSK'!$E$4:$Q$98,13,FALSE))</f>
        <v>315241136.41000003</v>
      </c>
      <c r="U48" s="53">
        <f>VLOOKUP($E48,'[1]2.จัดสรรหลังSK'!$E$4:$Y$98,14,FALSE)</f>
        <v>9024954.2400000002</v>
      </c>
      <c r="V48" s="53">
        <f>VLOOKUP($E48,'[1]2.จัดสรรหลังSK'!$E$4:$Y$98,15,FALSE)</f>
        <v>31470476.399999999</v>
      </c>
      <c r="W48" s="57">
        <f t="shared" ref="W48:W61" si="35">SUM(R48:V48)</f>
        <v>476733605.15000004</v>
      </c>
      <c r="X48" s="57">
        <v>226933961</v>
      </c>
      <c r="Y48" s="53">
        <f t="shared" ref="Y48:Y61" si="36">ROUND(W48-X48,2)</f>
        <v>249799644.15000001</v>
      </c>
      <c r="Z48" s="59">
        <v>3097094.05</v>
      </c>
      <c r="AA48" s="60">
        <f t="shared" ref="AA48:AA61" si="37">ROUND(Y48+Z48,2)</f>
        <v>252896738.19999999</v>
      </c>
      <c r="AB48" s="57">
        <f>VLOOKUP($E48,'[1]2.จัดสรรหลังSK'!$E$4:$Y$98,21,FALSE)</f>
        <v>255133168.97</v>
      </c>
      <c r="AC48" s="57">
        <f t="shared" ref="AC48:AC61" si="38">ROUND(AA48-AB48,2)</f>
        <v>-2236430.77</v>
      </c>
      <c r="AD48" s="61" t="str">
        <f t="shared" ref="AD48:AD61" si="39">IF(AA48&gt;=AB48,"ผ่าน","ไม่ผ่าน")</f>
        <v>ไม่ผ่าน</v>
      </c>
      <c r="AE48" s="62"/>
      <c r="AF48" s="57">
        <f t="shared" ref="AF48:AF61" si="40">ROUND(AA48+AE48,2)</f>
        <v>252896738.19999999</v>
      </c>
      <c r="AG48" s="62"/>
      <c r="AH48" s="62"/>
      <c r="AI48" s="57">
        <f t="shared" ref="AI48:AI61" si="41">ROUND(AG48+AH48,2)</f>
        <v>0</v>
      </c>
      <c r="AJ48" s="57">
        <f t="shared" ref="AJ48:AJ61" si="42">ROUND(AA48-AI48,2)</f>
        <v>252896738.19999999</v>
      </c>
      <c r="AK48" s="57">
        <f t="shared" ref="AK48:AK61" si="43">ROUND(AF48-AI48,2)</f>
        <v>252896738.19999999</v>
      </c>
    </row>
    <row r="49" spans="1:37" ht="14.25" customHeight="1" outlineLevel="2">
      <c r="A49" s="2">
        <v>534</v>
      </c>
      <c r="B49" s="3" t="s">
        <v>6</v>
      </c>
      <c r="C49" s="3" t="s">
        <v>86</v>
      </c>
      <c r="D49" s="3" t="s">
        <v>87</v>
      </c>
      <c r="E49" s="3" t="s">
        <v>90</v>
      </c>
      <c r="F49" s="3" t="s">
        <v>91</v>
      </c>
      <c r="G49" s="3">
        <v>40</v>
      </c>
      <c r="H49" s="63">
        <v>1.3</v>
      </c>
      <c r="I49" s="64"/>
      <c r="J49" s="65">
        <f t="shared" si="0"/>
        <v>1.3</v>
      </c>
      <c r="K49" s="66">
        <v>21409</v>
      </c>
      <c r="L49" s="67">
        <f>VLOOKUP($E49,'[1]2.จัดสรรหลังSK'!$E$4:$Y$98,5,FALSE)</f>
        <v>1549.2640286795272</v>
      </c>
      <c r="M49" s="67">
        <f>VLOOKUP($E49,'[1]2.จัดสรรหลังSK'!$E$4:$Y$98,6,FALSE)</f>
        <v>298.04719650614226</v>
      </c>
      <c r="N49" s="68">
        <v>1280.3031000000001</v>
      </c>
      <c r="O49" s="68">
        <v>18.897400000000001</v>
      </c>
      <c r="P49" s="68">
        <v>0</v>
      </c>
      <c r="Q49" s="63">
        <f t="shared" si="1"/>
        <v>6992.7660449367131</v>
      </c>
      <c r="R49" s="63">
        <f>VLOOKUP($E49,'[1]2.จัดสรรหลังSK'!$E$4:$Y$98,11,FALSE)</f>
        <v>33168193.59</v>
      </c>
      <c r="S49" s="63">
        <f>VLOOKUP($E49,'[1]2.จัดสรรหลังSK'!$E$4:$Y$98,12,FALSE)</f>
        <v>6380892.4299999997</v>
      </c>
      <c r="T49" s="65">
        <f>IF($I$105&lt;&gt;0,ROUND(ROUND(N49*J49,4)*Q49,2),VLOOKUP($E49,'[1]2.จัดสรรหลังSK'!$E$4:$Q$98,13,FALSE))</f>
        <v>11638717.85</v>
      </c>
      <c r="U49" s="63">
        <f>VLOOKUP($E49,'[1]2.จัดสรรหลังSK'!$E$4:$Y$98,14,FALSE)</f>
        <v>181415.04000000001</v>
      </c>
      <c r="V49" s="63">
        <f>VLOOKUP($E49,'[1]2.จัดสรรหลังSK'!$E$4:$Y$98,15,FALSE)</f>
        <v>0</v>
      </c>
      <c r="W49" s="67">
        <f t="shared" si="35"/>
        <v>51369218.909999996</v>
      </c>
      <c r="X49" s="67">
        <v>17741677</v>
      </c>
      <c r="Y49" s="63">
        <f t="shared" si="36"/>
        <v>33627541.909999996</v>
      </c>
      <c r="Z49" s="69">
        <v>0</v>
      </c>
      <c r="AA49" s="70">
        <f t="shared" si="37"/>
        <v>33627541.909999996</v>
      </c>
      <c r="AB49" s="67">
        <f>VLOOKUP($E49,'[1]2.จัดสรรหลังSK'!$E$4:$Y$98,21,FALSE)</f>
        <v>27766981.989999998</v>
      </c>
      <c r="AC49" s="67">
        <f t="shared" si="38"/>
        <v>5860559.9199999999</v>
      </c>
      <c r="AD49" s="71" t="str">
        <f t="shared" si="39"/>
        <v>ผ่าน</v>
      </c>
      <c r="AE49" s="72"/>
      <c r="AF49" s="67">
        <f t="shared" si="40"/>
        <v>33627541.909999996</v>
      </c>
      <c r="AG49" s="72"/>
      <c r="AH49" s="72"/>
      <c r="AI49" s="67">
        <f t="shared" si="41"/>
        <v>0</v>
      </c>
      <c r="AJ49" s="67">
        <f t="shared" si="42"/>
        <v>33627541.909999996</v>
      </c>
      <c r="AK49" s="67">
        <f t="shared" si="43"/>
        <v>33627541.909999996</v>
      </c>
    </row>
    <row r="50" spans="1:37" ht="14.25" customHeight="1" outlineLevel="2">
      <c r="A50" s="2">
        <v>535</v>
      </c>
      <c r="B50" s="3" t="s">
        <v>6</v>
      </c>
      <c r="C50" s="3" t="s">
        <v>86</v>
      </c>
      <c r="D50" s="3" t="s">
        <v>87</v>
      </c>
      <c r="E50" s="3" t="s">
        <v>92</v>
      </c>
      <c r="F50" s="3" t="s">
        <v>93</v>
      </c>
      <c r="G50" s="3">
        <v>59</v>
      </c>
      <c r="H50" s="63">
        <v>1.2</v>
      </c>
      <c r="I50" s="64"/>
      <c r="J50" s="65">
        <f t="shared" si="0"/>
        <v>1.2</v>
      </c>
      <c r="K50" s="66">
        <v>47161</v>
      </c>
      <c r="L50" s="67">
        <f>VLOOKUP($E50,'[1]2.จัดสรรหลังSK'!$E$4:$Y$98,5,FALSE)</f>
        <v>1310.1881749750853</v>
      </c>
      <c r="M50" s="67">
        <f>VLOOKUP($E50,'[1]2.จัดสรรหลังSK'!$E$4:$Y$98,6,FALSE)</f>
        <v>252.05381713704119</v>
      </c>
      <c r="N50" s="68">
        <v>2564.0414000000001</v>
      </c>
      <c r="O50" s="68">
        <v>32.728200000000001</v>
      </c>
      <c r="P50" s="68">
        <v>0</v>
      </c>
      <c r="Q50" s="63">
        <f t="shared" si="1"/>
        <v>6992.7660449367131</v>
      </c>
      <c r="R50" s="63">
        <f>VLOOKUP($E50,'[1]2.จัดสรรหลังSK'!$E$4:$Y$98,11,FALSE)</f>
        <v>61789784.520000003</v>
      </c>
      <c r="S50" s="63">
        <f>VLOOKUP($E50,'[1]2.จัดสรรหลังSK'!$E$4:$Y$98,12,FALSE)</f>
        <v>11887110.07</v>
      </c>
      <c r="T50" s="65">
        <f>IF($I$105&lt;&gt;0,ROUND(ROUND(N50*J50,4)*Q50,2),VLOOKUP($E50,'[1]2.จัดสรรหลังSK'!$E$4:$Q$98,13,FALSE))</f>
        <v>21515690.109999999</v>
      </c>
      <c r="U50" s="63">
        <f>VLOOKUP($E50,'[1]2.จัดสรรหลังSK'!$E$4:$Y$98,14,FALSE)</f>
        <v>314190.71999999997</v>
      </c>
      <c r="V50" s="63">
        <f>VLOOKUP($E50,'[1]2.จัดสรรหลังSK'!$E$4:$Y$98,15,FALSE)</f>
        <v>0</v>
      </c>
      <c r="W50" s="67">
        <f t="shared" si="35"/>
        <v>95506775.420000002</v>
      </c>
      <c r="X50" s="67">
        <v>39004774</v>
      </c>
      <c r="Y50" s="63">
        <f t="shared" si="36"/>
        <v>56502001.420000002</v>
      </c>
      <c r="Z50" s="69">
        <v>1997948.93</v>
      </c>
      <c r="AA50" s="70">
        <f t="shared" si="37"/>
        <v>58499950.350000001</v>
      </c>
      <c r="AB50" s="67">
        <f>VLOOKUP($E50,'[1]2.จัดสรรหลังSK'!$E$4:$Y$98,21,FALSE)</f>
        <v>58652590.170000002</v>
      </c>
      <c r="AC50" s="67">
        <f t="shared" si="38"/>
        <v>-152639.82</v>
      </c>
      <c r="AD50" s="71" t="str">
        <f t="shared" si="39"/>
        <v>ไม่ผ่าน</v>
      </c>
      <c r="AE50" s="72"/>
      <c r="AF50" s="67">
        <f t="shared" si="40"/>
        <v>58499950.350000001</v>
      </c>
      <c r="AG50" s="72"/>
      <c r="AH50" s="72"/>
      <c r="AI50" s="67">
        <f t="shared" si="41"/>
        <v>0</v>
      </c>
      <c r="AJ50" s="67">
        <f t="shared" si="42"/>
        <v>58499950.350000001</v>
      </c>
      <c r="AK50" s="67">
        <f t="shared" si="43"/>
        <v>58499950.350000001</v>
      </c>
    </row>
    <row r="51" spans="1:37" ht="14.25" customHeight="1" outlineLevel="2">
      <c r="A51" s="2">
        <v>536</v>
      </c>
      <c r="B51" s="3" t="s">
        <v>6</v>
      </c>
      <c r="C51" s="3" t="s">
        <v>86</v>
      </c>
      <c r="D51" s="3" t="s">
        <v>87</v>
      </c>
      <c r="E51" s="3" t="s">
        <v>94</v>
      </c>
      <c r="F51" s="3" t="s">
        <v>95</v>
      </c>
      <c r="G51" s="3">
        <v>53</v>
      </c>
      <c r="H51" s="63">
        <v>1.25</v>
      </c>
      <c r="I51" s="64"/>
      <c r="J51" s="65">
        <f t="shared" si="0"/>
        <v>1.25</v>
      </c>
      <c r="K51" s="66">
        <v>34265</v>
      </c>
      <c r="L51" s="67">
        <f>VLOOKUP($E51,'[1]2.จัดสรรหลังSK'!$E$4:$Y$98,5,FALSE)</f>
        <v>1416.8792152342041</v>
      </c>
      <c r="M51" s="67">
        <f>VLOOKUP($E51,'[1]2.จัดสรรหลังSK'!$E$4:$Y$98,6,FALSE)</f>
        <v>272.57902436888952</v>
      </c>
      <c r="N51" s="68">
        <v>2354.625</v>
      </c>
      <c r="O51" s="68">
        <v>50.146599999999999</v>
      </c>
      <c r="P51" s="68">
        <v>0</v>
      </c>
      <c r="Q51" s="63">
        <f t="shared" si="1"/>
        <v>6992.7660449367131</v>
      </c>
      <c r="R51" s="63">
        <f>VLOOKUP($E51,'[1]2.จัดสรรหลังSK'!$E$4:$Y$98,11,FALSE)</f>
        <v>48549366.310000002</v>
      </c>
      <c r="S51" s="63">
        <f>VLOOKUP($E51,'[1]2.จัดสรรหลังSK'!$E$4:$Y$98,12,FALSE)</f>
        <v>9339920.2699999996</v>
      </c>
      <c r="T51" s="65">
        <f>IF($I$105&lt;&gt;0,ROUND(ROUND(N51*J51,4)*Q51,2),VLOOKUP($E51,'[1]2.จัดสรรหลังSK'!$E$4:$Q$98,13,FALSE))</f>
        <v>20581677.539999999</v>
      </c>
      <c r="U51" s="63">
        <f>VLOOKUP($E51,'[1]2.จัดสรรหลังSK'!$E$4:$Y$98,14,FALSE)</f>
        <v>481407.36</v>
      </c>
      <c r="V51" s="63">
        <f>VLOOKUP($E51,'[1]2.จัดสรรหลังSK'!$E$4:$Y$98,15,FALSE)</f>
        <v>0</v>
      </c>
      <c r="W51" s="67">
        <f t="shared" si="35"/>
        <v>78952371.480000004</v>
      </c>
      <c r="X51" s="67">
        <v>22585410</v>
      </c>
      <c r="Y51" s="63">
        <f t="shared" si="36"/>
        <v>56366961.479999997</v>
      </c>
      <c r="Z51" s="69">
        <v>0</v>
      </c>
      <c r="AA51" s="70">
        <f t="shared" si="37"/>
        <v>56366961.479999997</v>
      </c>
      <c r="AB51" s="67">
        <f>VLOOKUP($E51,'[1]2.จัดสรรหลังSK'!$E$4:$Y$98,21,FALSE)</f>
        <v>47996250.880000003</v>
      </c>
      <c r="AC51" s="67">
        <f t="shared" si="38"/>
        <v>8370710.5999999996</v>
      </c>
      <c r="AD51" s="71" t="str">
        <f t="shared" si="39"/>
        <v>ผ่าน</v>
      </c>
      <c r="AE51" s="72"/>
      <c r="AF51" s="67">
        <f t="shared" si="40"/>
        <v>56366961.479999997</v>
      </c>
      <c r="AG51" s="72"/>
      <c r="AH51" s="72"/>
      <c r="AI51" s="67">
        <f t="shared" si="41"/>
        <v>0</v>
      </c>
      <c r="AJ51" s="67">
        <f t="shared" si="42"/>
        <v>56366961.479999997</v>
      </c>
      <c r="AK51" s="67">
        <f t="shared" si="43"/>
        <v>56366961.479999997</v>
      </c>
    </row>
    <row r="52" spans="1:37" ht="14.25" customHeight="1" outlineLevel="2">
      <c r="A52" s="2">
        <v>537</v>
      </c>
      <c r="B52" s="3" t="s">
        <v>6</v>
      </c>
      <c r="C52" s="3" t="s">
        <v>86</v>
      </c>
      <c r="D52" s="3" t="s">
        <v>87</v>
      </c>
      <c r="E52" s="3" t="s">
        <v>96</v>
      </c>
      <c r="F52" s="3" t="s">
        <v>97</v>
      </c>
      <c r="G52" s="3">
        <v>30</v>
      </c>
      <c r="H52" s="63">
        <v>1.4</v>
      </c>
      <c r="I52" s="64"/>
      <c r="J52" s="65">
        <f t="shared" si="0"/>
        <v>1.4</v>
      </c>
      <c r="K52" s="66">
        <v>8824</v>
      </c>
      <c r="L52" s="67">
        <f>VLOOKUP($E52,'[1]2.จัดสรรหลังSK'!$E$4:$Y$98,5,FALSE)</f>
        <v>1716.4497472801452</v>
      </c>
      <c r="M52" s="67">
        <f>VLOOKUP($E52,'[1]2.จัดสรรหลังSK'!$E$4:$Y$98,6,FALSE)</f>
        <v>330.21036151405258</v>
      </c>
      <c r="N52" s="68">
        <v>580.39110000000005</v>
      </c>
      <c r="O52" s="68">
        <v>16.4788</v>
      </c>
      <c r="P52" s="68">
        <v>0</v>
      </c>
      <c r="Q52" s="63">
        <f t="shared" si="1"/>
        <v>6992.7660449367131</v>
      </c>
      <c r="R52" s="63">
        <f>VLOOKUP($E52,'[1]2.จัดสรรหลังSK'!$E$4:$Y$98,11,FALSE)</f>
        <v>15145952.57</v>
      </c>
      <c r="S52" s="63">
        <f>VLOOKUP($E52,'[1]2.จัดสรรหลังSK'!$E$4:$Y$98,12,FALSE)</f>
        <v>2913776.23</v>
      </c>
      <c r="T52" s="65">
        <f>IF($I$105&lt;&gt;0,ROUND(ROUND(N52*J52,4)*Q52,2),VLOOKUP($E52,'[1]2.จัดสรรหลังSK'!$E$4:$Q$98,13,FALSE))</f>
        <v>5681954.5700000003</v>
      </c>
      <c r="U52" s="63">
        <f>VLOOKUP($E52,'[1]2.จัดสรรหลังSK'!$E$4:$Y$98,14,FALSE)</f>
        <v>158196.48000000001</v>
      </c>
      <c r="V52" s="63">
        <f>VLOOKUP($E52,'[1]2.จัดสรรหลังSK'!$E$4:$Y$98,15,FALSE)</f>
        <v>0</v>
      </c>
      <c r="W52" s="67">
        <f t="shared" si="35"/>
        <v>23899879.850000001</v>
      </c>
      <c r="X52" s="67">
        <v>15304611</v>
      </c>
      <c r="Y52" s="63">
        <f t="shared" si="36"/>
        <v>8595268.8499999996</v>
      </c>
      <c r="Z52" s="69">
        <v>12276632.779999999</v>
      </c>
      <c r="AA52" s="70">
        <f t="shared" si="37"/>
        <v>20871901.629999999</v>
      </c>
      <c r="AB52" s="67">
        <f>VLOOKUP($E52,'[1]2.จัดสรรหลังSK'!$E$4:$Y$98,21,FALSE)</f>
        <v>20912211.399999999</v>
      </c>
      <c r="AC52" s="67">
        <f t="shared" si="38"/>
        <v>-40309.769999999997</v>
      </c>
      <c r="AD52" s="71" t="str">
        <f t="shared" si="39"/>
        <v>ไม่ผ่าน</v>
      </c>
      <c r="AE52" s="72"/>
      <c r="AF52" s="67">
        <f t="shared" si="40"/>
        <v>20871901.629999999</v>
      </c>
      <c r="AG52" s="72"/>
      <c r="AH52" s="72"/>
      <c r="AI52" s="67">
        <f t="shared" si="41"/>
        <v>0</v>
      </c>
      <c r="AJ52" s="67">
        <f t="shared" si="42"/>
        <v>20871901.629999999</v>
      </c>
      <c r="AK52" s="67">
        <f t="shared" si="43"/>
        <v>20871901.629999999</v>
      </c>
    </row>
    <row r="53" spans="1:37" ht="14.25" customHeight="1" outlineLevel="2">
      <c r="A53" s="2">
        <v>538</v>
      </c>
      <c r="B53" s="3" t="s">
        <v>6</v>
      </c>
      <c r="C53" s="3" t="s">
        <v>86</v>
      </c>
      <c r="D53" s="3" t="s">
        <v>87</v>
      </c>
      <c r="E53" s="3" t="s">
        <v>98</v>
      </c>
      <c r="F53" s="3" t="s">
        <v>99</v>
      </c>
      <c r="G53" s="3">
        <v>32</v>
      </c>
      <c r="H53" s="63">
        <v>1.35</v>
      </c>
      <c r="I53" s="64"/>
      <c r="J53" s="65">
        <f t="shared" si="0"/>
        <v>1.35</v>
      </c>
      <c r="K53" s="66">
        <v>18132</v>
      </c>
      <c r="L53" s="67">
        <f>VLOOKUP($E53,'[1]2.จัดสรรหลังSK'!$E$4:$Y$98,5,FALSE)</f>
        <v>1583.7917328480034</v>
      </c>
      <c r="M53" s="67">
        <f>VLOOKUP($E53,'[1]2.จัดสรรหลังSK'!$E$4:$Y$98,6,FALSE)</f>
        <v>304.68963103904696</v>
      </c>
      <c r="N53" s="68">
        <v>1000.0644</v>
      </c>
      <c r="O53" s="68">
        <v>22.388000000000002</v>
      </c>
      <c r="P53" s="68">
        <v>0</v>
      </c>
      <c r="Q53" s="63">
        <f t="shared" si="1"/>
        <v>6992.7660449367131</v>
      </c>
      <c r="R53" s="63">
        <f>VLOOKUP($E53,'[1]2.จัดสรรหลังSK'!$E$4:$Y$98,11,FALSE)</f>
        <v>28717311.699999999</v>
      </c>
      <c r="S53" s="63">
        <f>VLOOKUP($E53,'[1]2.จัดสรรหลังSK'!$E$4:$Y$98,12,FALSE)</f>
        <v>5524632.3899999997</v>
      </c>
      <c r="T53" s="65">
        <f>IF($I$105&lt;&gt;0,ROUND(ROUND(N53*J53,4)*Q53,2),VLOOKUP($E53,'[1]2.จัดสรรหลังSK'!$E$4:$Q$98,13,FALSE))</f>
        <v>9440841.8300000001</v>
      </c>
      <c r="U53" s="63">
        <f>VLOOKUP($E53,'[1]2.จัดสรรหลังSK'!$E$4:$Y$98,14,FALSE)</f>
        <v>214924.79999999999</v>
      </c>
      <c r="V53" s="63">
        <f>VLOOKUP($E53,'[1]2.จัดสรรหลังSK'!$E$4:$Y$98,15,FALSE)</f>
        <v>0</v>
      </c>
      <c r="W53" s="67">
        <f t="shared" si="35"/>
        <v>43897710.719999991</v>
      </c>
      <c r="X53" s="67">
        <v>20355347</v>
      </c>
      <c r="Y53" s="63">
        <f t="shared" si="36"/>
        <v>23542363.719999999</v>
      </c>
      <c r="Z53" s="69">
        <v>0</v>
      </c>
      <c r="AA53" s="70">
        <f t="shared" si="37"/>
        <v>23542363.719999999</v>
      </c>
      <c r="AB53" s="67">
        <f>VLOOKUP($E53,'[1]2.จัดสรรหลังSK'!$E$4:$Y$98,21,FALSE)</f>
        <v>22370636.469999999</v>
      </c>
      <c r="AC53" s="67">
        <f t="shared" si="38"/>
        <v>1171727.25</v>
      </c>
      <c r="AD53" s="71" t="str">
        <f t="shared" si="39"/>
        <v>ผ่าน</v>
      </c>
      <c r="AE53" s="72"/>
      <c r="AF53" s="67">
        <f t="shared" si="40"/>
        <v>23542363.719999999</v>
      </c>
      <c r="AG53" s="72"/>
      <c r="AH53" s="72"/>
      <c r="AI53" s="67">
        <f t="shared" si="41"/>
        <v>0</v>
      </c>
      <c r="AJ53" s="67">
        <f t="shared" si="42"/>
        <v>23542363.719999999</v>
      </c>
      <c r="AK53" s="67">
        <f t="shared" si="43"/>
        <v>23542363.719999999</v>
      </c>
    </row>
    <row r="54" spans="1:37" ht="14.25" customHeight="1" outlineLevel="2">
      <c r="A54" s="2">
        <v>539</v>
      </c>
      <c r="B54" s="3" t="s">
        <v>6</v>
      </c>
      <c r="C54" s="3" t="s">
        <v>86</v>
      </c>
      <c r="D54" s="3" t="s">
        <v>87</v>
      </c>
      <c r="E54" s="3" t="s">
        <v>100</v>
      </c>
      <c r="F54" s="3" t="s">
        <v>101</v>
      </c>
      <c r="G54" s="3">
        <v>45</v>
      </c>
      <c r="H54" s="63">
        <v>1.3</v>
      </c>
      <c r="I54" s="64"/>
      <c r="J54" s="65">
        <f t="shared" si="0"/>
        <v>1.3</v>
      </c>
      <c r="K54" s="66">
        <v>21233</v>
      </c>
      <c r="L54" s="67">
        <f>VLOOKUP($E54,'[1]2.จัดสรรหลังSK'!$E$4:$Y$98,5,FALSE)</f>
        <v>1551.6953638204682</v>
      </c>
      <c r="M54" s="67">
        <f>VLOOKUP($E54,'[1]2.จัดสรรหลังSK'!$E$4:$Y$98,6,FALSE)</f>
        <v>298.51493618424149</v>
      </c>
      <c r="N54" s="68">
        <v>1445.2726</v>
      </c>
      <c r="O54" s="68">
        <v>20.837199999999999</v>
      </c>
      <c r="P54" s="68">
        <v>3.6461000000000001</v>
      </c>
      <c r="Q54" s="63">
        <f t="shared" si="1"/>
        <v>6992.7660449367131</v>
      </c>
      <c r="R54" s="63">
        <f>VLOOKUP($E54,'[1]2.จัดสรรหลังSK'!$E$4:$Y$98,11,FALSE)</f>
        <v>32947147.66</v>
      </c>
      <c r="S54" s="63">
        <f>VLOOKUP($E54,'[1]2.จัดสรรหลังSK'!$E$4:$Y$98,12,FALSE)</f>
        <v>6338367.6399999997</v>
      </c>
      <c r="T54" s="65">
        <f>IF($I$105&lt;&gt;0,ROUND(ROUND(N54*J54,4)*Q54,2),VLOOKUP($E54,'[1]2.จัดสรรหลังSK'!$E$4:$Q$98,13,FALSE))</f>
        <v>13138389.25</v>
      </c>
      <c r="U54" s="63">
        <f>VLOOKUP($E54,'[1]2.จัดสรรหลังSK'!$E$4:$Y$98,14,FALSE)</f>
        <v>200037.12</v>
      </c>
      <c r="V54" s="63">
        <f>VLOOKUP($E54,'[1]2.จัดสรรหลังSK'!$E$4:$Y$98,15,FALSE)</f>
        <v>32814.9</v>
      </c>
      <c r="W54" s="67">
        <f t="shared" si="35"/>
        <v>52656756.569999993</v>
      </c>
      <c r="X54" s="67">
        <v>25034282</v>
      </c>
      <c r="Y54" s="63">
        <f t="shared" si="36"/>
        <v>27622474.57</v>
      </c>
      <c r="Z54" s="69">
        <v>1094420.1200000001</v>
      </c>
      <c r="AA54" s="70">
        <f t="shared" si="37"/>
        <v>28716894.690000001</v>
      </c>
      <c r="AB54" s="67">
        <f>VLOOKUP($E54,'[1]2.จัดสรรหลังSK'!$E$4:$Y$98,21,FALSE)</f>
        <v>28810103.02</v>
      </c>
      <c r="AC54" s="67">
        <f t="shared" si="38"/>
        <v>-93208.33</v>
      </c>
      <c r="AD54" s="71" t="str">
        <f t="shared" si="39"/>
        <v>ไม่ผ่าน</v>
      </c>
      <c r="AE54" s="72"/>
      <c r="AF54" s="67">
        <f t="shared" si="40"/>
        <v>28716894.690000001</v>
      </c>
      <c r="AG54" s="72"/>
      <c r="AH54" s="72"/>
      <c r="AI54" s="67">
        <f t="shared" si="41"/>
        <v>0</v>
      </c>
      <c r="AJ54" s="67">
        <f t="shared" si="42"/>
        <v>28716894.690000001</v>
      </c>
      <c r="AK54" s="67">
        <f t="shared" si="43"/>
        <v>28716894.690000001</v>
      </c>
    </row>
    <row r="55" spans="1:37" ht="14.25" customHeight="1" outlineLevel="2">
      <c r="A55" s="2">
        <v>540</v>
      </c>
      <c r="B55" s="3" t="s">
        <v>6</v>
      </c>
      <c r="C55" s="3" t="s">
        <v>86</v>
      </c>
      <c r="D55" s="3" t="s">
        <v>87</v>
      </c>
      <c r="E55" s="3" t="s">
        <v>102</v>
      </c>
      <c r="F55" s="3" t="s">
        <v>103</v>
      </c>
      <c r="G55" s="3">
        <v>113</v>
      </c>
      <c r="H55" s="63">
        <v>1.1000000000000001</v>
      </c>
      <c r="I55" s="64">
        <v>1.1499999999999999</v>
      </c>
      <c r="J55" s="65">
        <f t="shared" si="0"/>
        <v>1.1499999999999999</v>
      </c>
      <c r="K55" s="66">
        <v>86991</v>
      </c>
      <c r="L55" s="67">
        <f>VLOOKUP($E55,'[1]2.จัดสรรหลังSK'!$E$4:$Y$98,5,FALSE)</f>
        <v>1110.0615077421803</v>
      </c>
      <c r="M55" s="67">
        <f>VLOOKUP($E55,'[1]2.จัดสรรหลังSK'!$E$4:$Y$98,6,FALSE)</f>
        <v>213.55347691140466</v>
      </c>
      <c r="N55" s="68">
        <v>5484.8693000000003</v>
      </c>
      <c r="O55" s="68">
        <v>83.618700000000004</v>
      </c>
      <c r="P55" s="68">
        <v>3.7113</v>
      </c>
      <c r="Q55" s="63">
        <f t="shared" si="1"/>
        <v>6992.7660449367131</v>
      </c>
      <c r="R55" s="63">
        <f>VLOOKUP($E55,'[1]2.จัดสรรหลังSK'!$E$4:$Y$98,11,FALSE)</f>
        <v>96565360.620000005</v>
      </c>
      <c r="S55" s="63">
        <f>VLOOKUP($E55,'[1]2.จัดสรรหลังSK'!$E$4:$Y$98,12,FALSE)</f>
        <v>18577230.510000002</v>
      </c>
      <c r="T55" s="65">
        <f>IF($I$105&lt;&gt;0,ROUND(ROUND(N55*J55,4)*Q55,2),VLOOKUP($E55,'[1]2.จัดสรรหลังSK'!$E$4:$Q$98,13,FALSE))</f>
        <v>44107569.009999998</v>
      </c>
      <c r="U55" s="63">
        <f>VLOOKUP($E55,'[1]2.จัดสรรหลังSK'!$E$4:$Y$98,14,FALSE)</f>
        <v>802739.52</v>
      </c>
      <c r="V55" s="63">
        <f>VLOOKUP($E55,'[1]2.จัดสรรหลังSK'!$E$4:$Y$98,15,FALSE)</f>
        <v>33401.699999999997</v>
      </c>
      <c r="W55" s="67">
        <f t="shared" si="35"/>
        <v>160086301.36000001</v>
      </c>
      <c r="X55" s="67">
        <v>79095048</v>
      </c>
      <c r="Y55" s="63">
        <f t="shared" si="36"/>
        <v>80991253.359999999</v>
      </c>
      <c r="Z55" s="69">
        <v>0</v>
      </c>
      <c r="AA55" s="70">
        <f t="shared" si="37"/>
        <v>80991253.359999999</v>
      </c>
      <c r="AB55" s="67">
        <f>VLOOKUP($E55,'[1]2.จัดสรรหลังSK'!$E$4:$Y$98,21,FALSE)</f>
        <v>76273769.379999995</v>
      </c>
      <c r="AC55" s="67">
        <f t="shared" si="38"/>
        <v>4717483.9800000004</v>
      </c>
      <c r="AD55" s="71" t="str">
        <f t="shared" si="39"/>
        <v>ผ่าน</v>
      </c>
      <c r="AE55" s="72"/>
      <c r="AF55" s="67">
        <f t="shared" si="40"/>
        <v>80991253.359999999</v>
      </c>
      <c r="AG55" s="72"/>
      <c r="AH55" s="72"/>
      <c r="AI55" s="67">
        <f t="shared" si="41"/>
        <v>0</v>
      </c>
      <c r="AJ55" s="67">
        <f t="shared" si="42"/>
        <v>80991253.359999999</v>
      </c>
      <c r="AK55" s="67">
        <f t="shared" si="43"/>
        <v>80991253.359999999</v>
      </c>
    </row>
    <row r="56" spans="1:37" ht="14.25" customHeight="1" outlineLevel="2">
      <c r="A56" s="2">
        <v>541</v>
      </c>
      <c r="B56" s="3" t="s">
        <v>6</v>
      </c>
      <c r="C56" s="3" t="s">
        <v>86</v>
      </c>
      <c r="D56" s="3" t="s">
        <v>87</v>
      </c>
      <c r="E56" s="3" t="s">
        <v>104</v>
      </c>
      <c r="F56" s="3" t="s">
        <v>105</v>
      </c>
      <c r="G56" s="3">
        <v>51</v>
      </c>
      <c r="H56" s="63">
        <v>1.3</v>
      </c>
      <c r="I56" s="64"/>
      <c r="J56" s="65">
        <f t="shared" si="0"/>
        <v>1.3</v>
      </c>
      <c r="K56" s="66">
        <v>26805</v>
      </c>
      <c r="L56" s="67">
        <f>VLOOKUP($E56,'[1]2.จัดสรรหลังSK'!$E$4:$Y$98,5,FALSE)</f>
        <v>1490.2167871665733</v>
      </c>
      <c r="M56" s="67">
        <f>VLOOKUP($E56,'[1]2.จัดสรรหลังSK'!$E$4:$Y$98,6,FALSE)</f>
        <v>286.68769632531246</v>
      </c>
      <c r="N56" s="68">
        <v>1525.2987000000001</v>
      </c>
      <c r="O56" s="68">
        <v>46.270600000000002</v>
      </c>
      <c r="P56" s="68">
        <v>0</v>
      </c>
      <c r="Q56" s="63">
        <f t="shared" si="1"/>
        <v>6992.7660449367131</v>
      </c>
      <c r="R56" s="63">
        <f>VLOOKUP($E56,'[1]2.จัดสรรหลังSK'!$E$4:$Y$98,11,FALSE)</f>
        <v>39945260.979999997</v>
      </c>
      <c r="S56" s="63">
        <f>VLOOKUP($E56,'[1]2.จัดสรรหลังSK'!$E$4:$Y$98,12,FALSE)</f>
        <v>7684663.7000000002</v>
      </c>
      <c r="T56" s="65">
        <f>IF($I$105&lt;&gt;0,ROUND(ROUND(N56*J56,4)*Q56,2),VLOOKUP($E56,'[1]2.จัดสรรหลังSK'!$E$4:$Q$98,13,FALSE))</f>
        <v>13865873.98</v>
      </c>
      <c r="U56" s="63">
        <f>VLOOKUP($E56,'[1]2.จัดสรรหลังSK'!$E$4:$Y$98,14,FALSE)</f>
        <v>444197.76</v>
      </c>
      <c r="V56" s="63">
        <f>VLOOKUP($E56,'[1]2.จัดสรรหลังSK'!$E$4:$Y$98,15,FALSE)</f>
        <v>0</v>
      </c>
      <c r="W56" s="67">
        <f t="shared" si="35"/>
        <v>61939996.419999994</v>
      </c>
      <c r="X56" s="67">
        <v>25405209</v>
      </c>
      <c r="Y56" s="63">
        <f t="shared" si="36"/>
        <v>36534787.420000002</v>
      </c>
      <c r="Z56" s="69">
        <v>0</v>
      </c>
      <c r="AA56" s="70">
        <f t="shared" si="37"/>
        <v>36534787.420000002</v>
      </c>
      <c r="AB56" s="67">
        <f>VLOOKUP($E56,'[1]2.จัดสรรหลังSK'!$E$4:$Y$98,21,FALSE)</f>
        <v>30905605.260000002</v>
      </c>
      <c r="AC56" s="67">
        <f t="shared" si="38"/>
        <v>5629182.1600000001</v>
      </c>
      <c r="AD56" s="71" t="str">
        <f t="shared" si="39"/>
        <v>ผ่าน</v>
      </c>
      <c r="AE56" s="72"/>
      <c r="AF56" s="67">
        <f t="shared" si="40"/>
        <v>36534787.420000002</v>
      </c>
      <c r="AG56" s="72"/>
      <c r="AH56" s="72"/>
      <c r="AI56" s="67">
        <f t="shared" si="41"/>
        <v>0</v>
      </c>
      <c r="AJ56" s="67">
        <f t="shared" si="42"/>
        <v>36534787.420000002</v>
      </c>
      <c r="AK56" s="67">
        <f t="shared" si="43"/>
        <v>36534787.420000002</v>
      </c>
    </row>
    <row r="57" spans="1:37" ht="14.25" customHeight="1" outlineLevel="2">
      <c r="A57" s="2">
        <v>542</v>
      </c>
      <c r="B57" s="3" t="s">
        <v>6</v>
      </c>
      <c r="C57" s="3" t="s">
        <v>86</v>
      </c>
      <c r="D57" s="3" t="s">
        <v>87</v>
      </c>
      <c r="E57" s="3" t="s">
        <v>106</v>
      </c>
      <c r="F57" s="3" t="s">
        <v>107</v>
      </c>
      <c r="G57" s="3">
        <v>42</v>
      </c>
      <c r="H57" s="63">
        <v>1.3</v>
      </c>
      <c r="I57" s="64"/>
      <c r="J57" s="65">
        <f t="shared" si="0"/>
        <v>1.3</v>
      </c>
      <c r="K57" s="66">
        <v>20120</v>
      </c>
      <c r="L57" s="67">
        <f>VLOOKUP($E57,'[1]2.จัดสรรหลังSK'!$E$4:$Y$98,5,FALSE)</f>
        <v>1568.0558305168986</v>
      </c>
      <c r="M57" s="67">
        <f>VLOOKUP($E57,'[1]2.จัดสรรหลังSK'!$E$4:$Y$98,6,FALSE)</f>
        <v>301.66236033797219</v>
      </c>
      <c r="N57" s="68">
        <v>1602.0282999999999</v>
      </c>
      <c r="O57" s="68">
        <v>18.923400000000001</v>
      </c>
      <c r="P57" s="68">
        <v>0</v>
      </c>
      <c r="Q57" s="63">
        <f t="shared" si="1"/>
        <v>6992.7660449367131</v>
      </c>
      <c r="R57" s="63">
        <f>VLOOKUP($E57,'[1]2.จัดสรรหลังSK'!$E$4:$Y$98,11,FALSE)</f>
        <v>31549283.309999999</v>
      </c>
      <c r="S57" s="63">
        <f>VLOOKUP($E57,'[1]2.จัดสรรหลังSK'!$E$4:$Y$98,12,FALSE)</f>
        <v>6069446.6900000004</v>
      </c>
      <c r="T57" s="65">
        <f>IF($I$105&lt;&gt;0,ROUND(ROUND(N57*J57,4)*Q57,2),VLOOKUP($E57,'[1]2.จัดสรรหลังSK'!$E$4:$Q$98,13,FALSE))</f>
        <v>14563391.9</v>
      </c>
      <c r="U57" s="63">
        <f>VLOOKUP($E57,'[1]2.จัดสรรหลังSK'!$E$4:$Y$98,14,FALSE)</f>
        <v>181664.64000000001</v>
      </c>
      <c r="V57" s="63">
        <f>VLOOKUP($E57,'[1]2.จัดสรรหลังSK'!$E$4:$Y$98,15,FALSE)</f>
        <v>0</v>
      </c>
      <c r="W57" s="67">
        <f t="shared" si="35"/>
        <v>52363786.539999999</v>
      </c>
      <c r="X57" s="67">
        <v>20300153</v>
      </c>
      <c r="Y57" s="63">
        <f t="shared" si="36"/>
        <v>32063633.539999999</v>
      </c>
      <c r="Z57" s="69">
        <v>0</v>
      </c>
      <c r="AA57" s="70">
        <f t="shared" si="37"/>
        <v>32063633.539999999</v>
      </c>
      <c r="AB57" s="67">
        <f>VLOOKUP($E57,'[1]2.จัดสรรหลังSK'!$E$4:$Y$98,21,FALSE)</f>
        <v>29194127.82</v>
      </c>
      <c r="AC57" s="67">
        <f t="shared" si="38"/>
        <v>2869505.72</v>
      </c>
      <c r="AD57" s="71" t="str">
        <f t="shared" si="39"/>
        <v>ผ่าน</v>
      </c>
      <c r="AE57" s="72"/>
      <c r="AF57" s="67">
        <f t="shared" si="40"/>
        <v>32063633.539999999</v>
      </c>
      <c r="AG57" s="72"/>
      <c r="AH57" s="72"/>
      <c r="AI57" s="67">
        <f t="shared" si="41"/>
        <v>0</v>
      </c>
      <c r="AJ57" s="67">
        <f t="shared" si="42"/>
        <v>32063633.539999999</v>
      </c>
      <c r="AK57" s="67">
        <f t="shared" si="43"/>
        <v>32063633.539999999</v>
      </c>
    </row>
    <row r="58" spans="1:37" ht="14.25" customHeight="1" outlineLevel="2">
      <c r="A58" s="2">
        <v>543</v>
      </c>
      <c r="B58" s="3" t="s">
        <v>6</v>
      </c>
      <c r="C58" s="3" t="s">
        <v>86</v>
      </c>
      <c r="D58" s="3" t="s">
        <v>87</v>
      </c>
      <c r="E58" s="3" t="s">
        <v>108</v>
      </c>
      <c r="F58" s="3" t="s">
        <v>109</v>
      </c>
      <c r="G58" s="3">
        <v>40</v>
      </c>
      <c r="H58" s="63">
        <v>1.25</v>
      </c>
      <c r="I58" s="64"/>
      <c r="J58" s="65">
        <f t="shared" si="0"/>
        <v>1.25</v>
      </c>
      <c r="K58" s="66">
        <v>32222</v>
      </c>
      <c r="L58" s="67">
        <f>VLOOKUP($E58,'[1]2.จัดสรรหลังSK'!$E$4:$Y$98,5,FALSE)</f>
        <v>1438.4591595804109</v>
      </c>
      <c r="M58" s="67">
        <f>VLOOKUP($E58,'[1]2.จัดสรรหลังSK'!$E$4:$Y$98,6,FALSE)</f>
        <v>276.73057103842098</v>
      </c>
      <c r="N58" s="68">
        <v>1936.6090999999999</v>
      </c>
      <c r="O58" s="68">
        <v>38.115400000000001</v>
      </c>
      <c r="P58" s="68">
        <v>0</v>
      </c>
      <c r="Q58" s="63">
        <f t="shared" si="1"/>
        <v>6992.7660449367131</v>
      </c>
      <c r="R58" s="63">
        <f>VLOOKUP($E58,'[1]2.จัดสรรหลังSK'!$E$4:$Y$98,11,FALSE)</f>
        <v>46350031.039999999</v>
      </c>
      <c r="S58" s="63">
        <f>VLOOKUP($E58,'[1]2.จัดสรรหลังSK'!$E$4:$Y$98,12,FALSE)</f>
        <v>8916812.4600000009</v>
      </c>
      <c r="T58" s="65">
        <f>IF($I$105&lt;&gt;0,ROUND(ROUND(N58*J58,4)*Q58,2),VLOOKUP($E58,'[1]2.จัดสรรหลังSK'!$E$4:$Q$98,13,FALSE))</f>
        <v>16927818.120000001</v>
      </c>
      <c r="U58" s="63">
        <f>VLOOKUP($E58,'[1]2.จัดสรรหลังSK'!$E$4:$Y$98,14,FALSE)</f>
        <v>365907.84</v>
      </c>
      <c r="V58" s="63">
        <f>VLOOKUP($E58,'[1]2.จัดสรรหลังSK'!$E$4:$Y$98,15,FALSE)</f>
        <v>0</v>
      </c>
      <c r="W58" s="67">
        <f t="shared" si="35"/>
        <v>72560569.460000008</v>
      </c>
      <c r="X58" s="67">
        <v>23058058</v>
      </c>
      <c r="Y58" s="63">
        <f t="shared" si="36"/>
        <v>49502511.460000001</v>
      </c>
      <c r="Z58" s="69">
        <v>0</v>
      </c>
      <c r="AA58" s="70">
        <f t="shared" si="37"/>
        <v>49502511.460000001</v>
      </c>
      <c r="AB58" s="67">
        <f>VLOOKUP($E58,'[1]2.จัดสรรหลังSK'!$E$4:$Y$98,21,FALSE)</f>
        <v>45976899.130000003</v>
      </c>
      <c r="AC58" s="67">
        <f t="shared" si="38"/>
        <v>3525612.33</v>
      </c>
      <c r="AD58" s="71" t="str">
        <f t="shared" si="39"/>
        <v>ผ่าน</v>
      </c>
      <c r="AE58" s="72"/>
      <c r="AF58" s="67">
        <f t="shared" si="40"/>
        <v>49502511.460000001</v>
      </c>
      <c r="AG58" s="72"/>
      <c r="AH58" s="72"/>
      <c r="AI58" s="67">
        <f t="shared" si="41"/>
        <v>0</v>
      </c>
      <c r="AJ58" s="67">
        <f t="shared" si="42"/>
        <v>49502511.460000001</v>
      </c>
      <c r="AK58" s="67">
        <f t="shared" si="43"/>
        <v>49502511.460000001</v>
      </c>
    </row>
    <row r="59" spans="1:37" ht="14.25" customHeight="1" outlineLevel="2">
      <c r="A59" s="2">
        <v>544</v>
      </c>
      <c r="B59" s="3" t="s">
        <v>6</v>
      </c>
      <c r="C59" s="3" t="s">
        <v>86</v>
      </c>
      <c r="D59" s="3" t="s">
        <v>87</v>
      </c>
      <c r="E59" s="3" t="s">
        <v>110</v>
      </c>
      <c r="F59" s="3" t="s">
        <v>111</v>
      </c>
      <c r="G59" s="3">
        <v>68</v>
      </c>
      <c r="H59" s="63">
        <v>1.2</v>
      </c>
      <c r="I59" s="64"/>
      <c r="J59" s="65">
        <f t="shared" si="0"/>
        <v>1.2</v>
      </c>
      <c r="K59" s="66">
        <v>41779</v>
      </c>
      <c r="L59" s="67">
        <f>VLOOKUP($E59,'[1]2.จัดสรรหลังSK'!$E$4:$Y$98,5,FALSE)</f>
        <v>1351.8456932908878</v>
      </c>
      <c r="M59" s="67">
        <f>VLOOKUP($E59,'[1]2.จัดสรรหลังSK'!$E$4:$Y$98,6,FALSE)</f>
        <v>260.06788458316379</v>
      </c>
      <c r="N59" s="68">
        <v>2521.5257000000001</v>
      </c>
      <c r="O59" s="68">
        <v>76.670299999999997</v>
      </c>
      <c r="P59" s="68">
        <v>7.5739999999999998</v>
      </c>
      <c r="Q59" s="63">
        <f t="shared" si="1"/>
        <v>6992.7660449367131</v>
      </c>
      <c r="R59" s="63">
        <f>VLOOKUP($E59,'[1]2.จัดสรรหลังSK'!$E$4:$Y$98,11,FALSE)</f>
        <v>56478761.219999999</v>
      </c>
      <c r="S59" s="63">
        <f>VLOOKUP($E59,'[1]2.จัดสรรหลังSK'!$E$4:$Y$98,12,FALSE)</f>
        <v>10865376.15</v>
      </c>
      <c r="T59" s="65">
        <f>IF($I$105&lt;&gt;0,ROUND(ROUND(N59*J59,4)*Q59,2),VLOOKUP($E59,'[1]2.จัดสรรหลังSK'!$E$4:$Q$98,13,FALSE))</f>
        <v>21158926.879999999</v>
      </c>
      <c r="U59" s="63">
        <f>VLOOKUP($E59,'[1]2.จัดสรรหลังSK'!$E$4:$Y$98,14,FALSE)</f>
        <v>736034.88</v>
      </c>
      <c r="V59" s="63">
        <f>VLOOKUP($E59,'[1]2.จัดสรรหลังSK'!$E$4:$Y$98,15,FALSE)</f>
        <v>68166</v>
      </c>
      <c r="W59" s="67">
        <f t="shared" si="35"/>
        <v>89307265.129999995</v>
      </c>
      <c r="X59" s="67">
        <v>39061027</v>
      </c>
      <c r="Y59" s="63">
        <f t="shared" si="36"/>
        <v>50246238.130000003</v>
      </c>
      <c r="Z59" s="69">
        <v>0</v>
      </c>
      <c r="AA59" s="70">
        <f t="shared" si="37"/>
        <v>50246238.130000003</v>
      </c>
      <c r="AB59" s="67">
        <f>VLOOKUP($E59,'[1]2.จัดสรรหลังSK'!$E$4:$Y$98,21,FALSE)</f>
        <v>47681412.18</v>
      </c>
      <c r="AC59" s="67">
        <f t="shared" si="38"/>
        <v>2564825.9500000002</v>
      </c>
      <c r="AD59" s="71" t="str">
        <f t="shared" si="39"/>
        <v>ผ่าน</v>
      </c>
      <c r="AE59" s="72"/>
      <c r="AF59" s="67">
        <f t="shared" si="40"/>
        <v>50246238.130000003</v>
      </c>
      <c r="AG59" s="72"/>
      <c r="AH59" s="72"/>
      <c r="AI59" s="67">
        <f t="shared" si="41"/>
        <v>0</v>
      </c>
      <c r="AJ59" s="67">
        <f t="shared" si="42"/>
        <v>50246238.130000003</v>
      </c>
      <c r="AK59" s="67">
        <f t="shared" si="43"/>
        <v>50246238.130000003</v>
      </c>
    </row>
    <row r="60" spans="1:37" ht="14.25" customHeight="1" outlineLevel="2">
      <c r="A60" s="2">
        <v>545</v>
      </c>
      <c r="B60" s="3" t="s">
        <v>6</v>
      </c>
      <c r="C60" s="3" t="s">
        <v>86</v>
      </c>
      <c r="D60" s="3" t="s">
        <v>87</v>
      </c>
      <c r="E60" s="3" t="s">
        <v>112</v>
      </c>
      <c r="F60" s="3" t="s">
        <v>113</v>
      </c>
      <c r="G60" s="3">
        <v>38</v>
      </c>
      <c r="H60" s="63">
        <v>1.25</v>
      </c>
      <c r="I60" s="64"/>
      <c r="J60" s="65">
        <f t="shared" si="0"/>
        <v>1.25</v>
      </c>
      <c r="K60" s="66">
        <v>31384</v>
      </c>
      <c r="L60" s="67">
        <f>VLOOKUP($E60,'[1]2.จัดสรรหลังSK'!$E$4:$Y$98,5,FALSE)</f>
        <v>1448.1234151159827</v>
      </c>
      <c r="M60" s="67">
        <f>VLOOKUP($E60,'[1]2.จัดสรรหลังSK'!$E$4:$Y$98,6,FALSE)</f>
        <v>278.58977918684684</v>
      </c>
      <c r="N60" s="68">
        <v>1906.1126999999999</v>
      </c>
      <c r="O60" s="68">
        <v>44.612099999999998</v>
      </c>
      <c r="P60" s="68">
        <v>0</v>
      </c>
      <c r="Q60" s="63">
        <f t="shared" si="1"/>
        <v>6992.7660449367131</v>
      </c>
      <c r="R60" s="63">
        <f>VLOOKUP($E60,'[1]2.จัดสรรหลังSK'!$E$4:$Y$98,11,FALSE)</f>
        <v>45447905.259999998</v>
      </c>
      <c r="S60" s="63">
        <f>VLOOKUP($E60,'[1]2.จัดสรรหลังSK'!$E$4:$Y$98,12,FALSE)</f>
        <v>8743261.6300000008</v>
      </c>
      <c r="T60" s="65">
        <f>IF($I$105&lt;&gt;0,ROUND(ROUND(N60*J60,4)*Q60,2),VLOOKUP($E60,'[1]2.จัดสรรหลังSK'!$E$4:$Q$98,13,FALSE))</f>
        <v>16661250.380000001</v>
      </c>
      <c r="U60" s="63">
        <f>VLOOKUP($E60,'[1]2.จัดสรรหลังSK'!$E$4:$Y$98,14,FALSE)</f>
        <v>428276.16</v>
      </c>
      <c r="V60" s="63">
        <f>VLOOKUP($E60,'[1]2.จัดสรรหลังSK'!$E$4:$Y$98,15,FALSE)</f>
        <v>0</v>
      </c>
      <c r="W60" s="67">
        <f t="shared" si="35"/>
        <v>71280693.429999992</v>
      </c>
      <c r="X60" s="67">
        <v>23223646</v>
      </c>
      <c r="Y60" s="63">
        <f t="shared" si="36"/>
        <v>48057047.43</v>
      </c>
      <c r="Z60" s="69">
        <v>0</v>
      </c>
      <c r="AA60" s="70">
        <f t="shared" si="37"/>
        <v>48057047.43</v>
      </c>
      <c r="AB60" s="67">
        <f>VLOOKUP($E60,'[1]2.จัดสรรหลังSK'!$E$4:$Y$98,21,FALSE)</f>
        <v>43026297.390000001</v>
      </c>
      <c r="AC60" s="67">
        <f t="shared" si="38"/>
        <v>5030750.04</v>
      </c>
      <c r="AD60" s="71" t="str">
        <f t="shared" si="39"/>
        <v>ผ่าน</v>
      </c>
      <c r="AE60" s="72"/>
      <c r="AF60" s="67">
        <f t="shared" si="40"/>
        <v>48057047.43</v>
      </c>
      <c r="AG60" s="72"/>
      <c r="AH60" s="72"/>
      <c r="AI60" s="67">
        <f t="shared" si="41"/>
        <v>0</v>
      </c>
      <c r="AJ60" s="67">
        <f t="shared" si="42"/>
        <v>48057047.43</v>
      </c>
      <c r="AK60" s="67">
        <f t="shared" si="43"/>
        <v>48057047.43</v>
      </c>
    </row>
    <row r="61" spans="1:37" ht="14.25" customHeight="1" outlineLevel="2">
      <c r="A61" s="2">
        <v>546</v>
      </c>
      <c r="B61" s="3" t="s">
        <v>6</v>
      </c>
      <c r="C61" s="3" t="s">
        <v>86</v>
      </c>
      <c r="D61" s="3" t="s">
        <v>87</v>
      </c>
      <c r="E61" s="3" t="s">
        <v>114</v>
      </c>
      <c r="F61" s="3" t="s">
        <v>115</v>
      </c>
      <c r="G61" s="3">
        <v>30</v>
      </c>
      <c r="H61" s="63">
        <v>1.35</v>
      </c>
      <c r="I61" s="64"/>
      <c r="J61" s="65">
        <f t="shared" si="0"/>
        <v>1.35</v>
      </c>
      <c r="K61" s="66">
        <v>19972</v>
      </c>
      <c r="L61" s="67">
        <f>VLOOKUP($E61,'[1]2.จัดสรรหลังSK'!$E$4:$Y$98,5,FALSE)</f>
        <v>1570.1171645303425</v>
      </c>
      <c r="M61" s="67">
        <f>VLOOKUP($E61,'[1]2.จัดสรรหลังSK'!$E$4:$Y$98,6,FALSE)</f>
        <v>302.0589194872822</v>
      </c>
      <c r="N61" s="68">
        <v>1040.8338000000001</v>
      </c>
      <c r="O61" s="68">
        <v>28.459700000000002</v>
      </c>
      <c r="P61" s="68">
        <v>0</v>
      </c>
      <c r="Q61" s="63">
        <f t="shared" si="1"/>
        <v>6992.7660449367131</v>
      </c>
      <c r="R61" s="63">
        <f>VLOOKUP($E61,'[1]2.จัดสรรหลังSK'!$E$4:$Y$98,11,FALSE)</f>
        <v>31358380.010000002</v>
      </c>
      <c r="S61" s="63">
        <f>VLOOKUP($E61,'[1]2.จัดสรรหลังSK'!$E$4:$Y$98,12,FALSE)</f>
        <v>6032720.7400000002</v>
      </c>
      <c r="T61" s="65">
        <f>IF($I$105&lt;&gt;0,ROUND(ROUND(N61*J61,4)*Q61,2),VLOOKUP($E61,'[1]2.จัดสรรหลังSK'!$E$4:$Q$98,13,FALSE))</f>
        <v>9825714.5800000001</v>
      </c>
      <c r="U61" s="63">
        <f>VLOOKUP($E61,'[1]2.จัดสรรหลังSK'!$E$4:$Y$98,14,FALSE)</f>
        <v>273213.12</v>
      </c>
      <c r="V61" s="63">
        <f>VLOOKUP($E61,'[1]2.จัดสรรหลังSK'!$E$4:$Y$98,15,FALSE)</f>
        <v>0</v>
      </c>
      <c r="W61" s="67">
        <f t="shared" si="35"/>
        <v>47490028.449999996</v>
      </c>
      <c r="X61" s="67">
        <v>18781169</v>
      </c>
      <c r="Y61" s="63">
        <f t="shared" si="36"/>
        <v>28708859.449999999</v>
      </c>
      <c r="Z61" s="69">
        <v>0</v>
      </c>
      <c r="AA61" s="70">
        <f t="shared" si="37"/>
        <v>28708859.449999999</v>
      </c>
      <c r="AB61" s="67">
        <f>VLOOKUP($E61,'[1]2.จัดสรรหลังSK'!$E$4:$Y$98,21,FALSE)</f>
        <v>28762598.969999999</v>
      </c>
      <c r="AC61" s="67">
        <f t="shared" si="38"/>
        <v>-53739.519999999997</v>
      </c>
      <c r="AD61" s="71" t="str">
        <f t="shared" si="39"/>
        <v>ไม่ผ่าน</v>
      </c>
      <c r="AE61" s="72"/>
      <c r="AF61" s="67">
        <f t="shared" si="40"/>
        <v>28708859.449999999</v>
      </c>
      <c r="AG61" s="72"/>
      <c r="AH61" s="72"/>
      <c r="AI61" s="67">
        <f t="shared" si="41"/>
        <v>0</v>
      </c>
      <c r="AJ61" s="67">
        <f t="shared" si="42"/>
        <v>28708859.449999999</v>
      </c>
      <c r="AK61" s="67">
        <f t="shared" si="43"/>
        <v>28708859.449999999</v>
      </c>
    </row>
    <row r="62" spans="1:37" ht="14.25" customHeight="1" outlineLevel="1">
      <c r="A62" s="4"/>
      <c r="B62" s="5"/>
      <c r="C62" s="73"/>
      <c r="D62" s="6" t="s">
        <v>116</v>
      </c>
      <c r="E62" s="5"/>
      <c r="F62" s="5"/>
      <c r="G62" s="5"/>
      <c r="H62" s="74"/>
      <c r="I62" s="75"/>
      <c r="J62" s="76"/>
      <c r="K62" s="77">
        <f>SUBTOTAL(9,K48:K61)</f>
        <v>503202</v>
      </c>
      <c r="L62" s="78"/>
      <c r="M62" s="78"/>
      <c r="N62" s="79">
        <f t="shared" ref="N62:AC62" si="44">SUBTOTAL(9,N48:N61)</f>
        <v>66224.734999999986</v>
      </c>
      <c r="O62" s="79">
        <f t="shared" si="44"/>
        <v>1438.2457999999999</v>
      </c>
      <c r="P62" s="79">
        <f t="shared" si="44"/>
        <v>3511.6509999999998</v>
      </c>
      <c r="Q62" s="74"/>
      <c r="R62" s="74">
        <f t="shared" si="44"/>
        <v>669487983.55000007</v>
      </c>
      <c r="S62" s="74">
        <f t="shared" si="44"/>
        <v>128796004.24999999</v>
      </c>
      <c r="T62" s="76">
        <f t="shared" si="44"/>
        <v>534348952.41000003</v>
      </c>
      <c r="U62" s="74">
        <f t="shared" si="44"/>
        <v>13807159.68</v>
      </c>
      <c r="V62" s="74">
        <f t="shared" si="44"/>
        <v>31604858.999999996</v>
      </c>
      <c r="W62" s="78">
        <f t="shared" si="44"/>
        <v>1378044958.8900003</v>
      </c>
      <c r="X62" s="78">
        <f t="shared" si="44"/>
        <v>595884372</v>
      </c>
      <c r="Y62" s="74">
        <f t="shared" si="44"/>
        <v>782160586.88999999</v>
      </c>
      <c r="Z62" s="74">
        <f t="shared" si="44"/>
        <v>18466095.879999999</v>
      </c>
      <c r="AA62" s="80">
        <f t="shared" si="44"/>
        <v>800626682.76999998</v>
      </c>
      <c r="AB62" s="78">
        <f t="shared" si="44"/>
        <v>763462653.02999997</v>
      </c>
      <c r="AC62" s="78">
        <f t="shared" si="44"/>
        <v>37164029.740000002</v>
      </c>
      <c r="AD62" s="81"/>
      <c r="AE62" s="82">
        <f t="shared" ref="AE62:AK62" si="45">SUBTOTAL(9,AE48:AE61)</f>
        <v>0</v>
      </c>
      <c r="AF62" s="78">
        <f t="shared" si="45"/>
        <v>800626682.76999998</v>
      </c>
      <c r="AG62" s="82">
        <f t="shared" si="45"/>
        <v>0</v>
      </c>
      <c r="AH62" s="82">
        <f t="shared" si="45"/>
        <v>0</v>
      </c>
      <c r="AI62" s="78">
        <f t="shared" si="45"/>
        <v>0</v>
      </c>
      <c r="AJ62" s="78">
        <f t="shared" si="45"/>
        <v>800626682.76999998</v>
      </c>
      <c r="AK62" s="78">
        <f t="shared" si="45"/>
        <v>800626682.76999998</v>
      </c>
    </row>
    <row r="63" spans="1:37" ht="14.25" customHeight="1" outlineLevel="2">
      <c r="A63" s="51">
        <v>547</v>
      </c>
      <c r="B63" s="52" t="s">
        <v>6</v>
      </c>
      <c r="C63" s="3" t="s">
        <v>117</v>
      </c>
      <c r="D63" s="52" t="s">
        <v>118</v>
      </c>
      <c r="E63" s="52" t="s">
        <v>119</v>
      </c>
      <c r="F63" s="52" t="s">
        <v>120</v>
      </c>
      <c r="G63" s="52">
        <v>434</v>
      </c>
      <c r="H63" s="53">
        <v>1.1000000000000001</v>
      </c>
      <c r="I63" s="54"/>
      <c r="J63" s="55">
        <f t="shared" si="0"/>
        <v>1.1000000000000001</v>
      </c>
      <c r="K63" s="56">
        <v>113857</v>
      </c>
      <c r="L63" s="57">
        <f>VLOOKUP($E63,'[1]2.จัดสรรหลังSK'!$E$4:$Y$98,5,FALSE)</f>
        <v>1025.1564892804131</v>
      </c>
      <c r="M63" s="57">
        <f>VLOOKUP($E63,'[1]2.จัดสรรหลังSK'!$E$4:$Y$98,6,FALSE)</f>
        <v>199.33537841327279</v>
      </c>
      <c r="N63" s="58">
        <v>25036.7287</v>
      </c>
      <c r="O63" s="58">
        <v>802.25710000000004</v>
      </c>
      <c r="P63" s="58">
        <v>771.60400000000004</v>
      </c>
      <c r="Q63" s="53">
        <f t="shared" si="1"/>
        <v>6992.7660449367131</v>
      </c>
      <c r="R63" s="53">
        <f>VLOOKUP($E63,'[1]2.จัดสรรหลังSK'!$E$4:$Y$98,11,FALSE)</f>
        <v>116721242.40000001</v>
      </c>
      <c r="S63" s="53">
        <f>VLOOKUP($E63,'[1]2.จัดสรรหลังSK'!$E$4:$Y$98,12,FALSE)</f>
        <v>22695728.18</v>
      </c>
      <c r="T63" s="55">
        <f>IF($I$105&lt;&gt;0,ROUND(ROUND(N63*J63,4)*Q63,2),VLOOKUP($E63,'[1]2.จัดสรรหลังSK'!$E$4:$Q$98,13,FALSE))</f>
        <v>192583585.16999999</v>
      </c>
      <c r="U63" s="53">
        <f>VLOOKUP($E63,'[1]2.จัดสรรหลังSK'!$E$4:$Y$98,14,FALSE)</f>
        <v>7701668.1600000001</v>
      </c>
      <c r="V63" s="53">
        <f>VLOOKUP($E63,'[1]2.จัดสรรหลังSK'!$E$4:$Y$98,15,FALSE)</f>
        <v>6944436</v>
      </c>
      <c r="W63" s="57">
        <f t="shared" ref="W63:W71" si="46">SUM(R63:V63)</f>
        <v>346646659.91000003</v>
      </c>
      <c r="X63" s="57">
        <v>208014576</v>
      </c>
      <c r="Y63" s="53">
        <f t="shared" ref="Y63:Y71" si="47">ROUND(W63-X63,2)</f>
        <v>138632083.91</v>
      </c>
      <c r="Z63" s="59">
        <v>305889.76</v>
      </c>
      <c r="AA63" s="60">
        <f t="shared" ref="AA63:AA71" si="48">ROUND(Y63+Z63,2)</f>
        <v>138937973.66999999</v>
      </c>
      <c r="AB63" s="57">
        <f>VLOOKUP($E63,'[1]2.จัดสรรหลังSK'!$E$4:$Y$98,21,FALSE)</f>
        <v>140304228.91</v>
      </c>
      <c r="AC63" s="57">
        <f t="shared" ref="AC63:AC71" si="49">ROUND(AA63-AB63,2)</f>
        <v>-1366255.24</v>
      </c>
      <c r="AD63" s="61" t="str">
        <f t="shared" ref="AD63:AD71" si="50">IF(AA63&gt;=AB63,"ผ่าน","ไม่ผ่าน")</f>
        <v>ไม่ผ่าน</v>
      </c>
      <c r="AE63" s="62"/>
      <c r="AF63" s="57">
        <f t="shared" ref="AF63:AF71" si="51">ROUND(AA63+AE63,2)</f>
        <v>138937973.66999999</v>
      </c>
      <c r="AG63" s="62"/>
      <c r="AH63" s="62"/>
      <c r="AI63" s="57">
        <f t="shared" ref="AI63:AI71" si="52">ROUND(AG63+AH63,2)</f>
        <v>0</v>
      </c>
      <c r="AJ63" s="57">
        <f t="shared" ref="AJ63:AJ71" si="53">ROUND(AA63-AI63,2)</f>
        <v>138937973.66999999</v>
      </c>
      <c r="AK63" s="57">
        <f t="shared" ref="AK63:AK71" si="54">ROUND(AF63-AI63,2)</f>
        <v>138937973.66999999</v>
      </c>
    </row>
    <row r="64" spans="1:37" ht="14.25" customHeight="1" outlineLevel="2">
      <c r="A64" s="2">
        <v>548</v>
      </c>
      <c r="B64" s="3" t="s">
        <v>6</v>
      </c>
      <c r="C64" s="3" t="s">
        <v>117</v>
      </c>
      <c r="D64" s="3" t="s">
        <v>118</v>
      </c>
      <c r="E64" s="3" t="s">
        <v>121</v>
      </c>
      <c r="F64" s="3" t="s">
        <v>122</v>
      </c>
      <c r="G64" s="3">
        <v>113</v>
      </c>
      <c r="H64" s="63">
        <v>1.1499999999999999</v>
      </c>
      <c r="I64" s="64">
        <v>1.2</v>
      </c>
      <c r="J64" s="65">
        <f t="shared" si="0"/>
        <v>1.2</v>
      </c>
      <c r="K64" s="66">
        <v>58808</v>
      </c>
      <c r="L64" s="67">
        <f>VLOOKUP($E64,'[1]2.จัดสรรหลังSK'!$E$4:$Y$98,5,FALSE)</f>
        <v>1215.3135923683851</v>
      </c>
      <c r="M64" s="67">
        <f>VLOOKUP($E64,'[1]2.จัดสรรหลังSK'!$E$4:$Y$98,6,FALSE)</f>
        <v>236.31025829819072</v>
      </c>
      <c r="N64" s="68">
        <v>4158.5572000000002</v>
      </c>
      <c r="O64" s="68">
        <v>72.887799999999999</v>
      </c>
      <c r="P64" s="68">
        <v>0</v>
      </c>
      <c r="Q64" s="63">
        <f t="shared" si="1"/>
        <v>6992.7660449367131</v>
      </c>
      <c r="R64" s="63">
        <f>VLOOKUP($E64,'[1]2.จัดสรรหลังSK'!$E$4:$Y$98,11,FALSE)</f>
        <v>71470161.739999995</v>
      </c>
      <c r="S64" s="63">
        <f>VLOOKUP($E64,'[1]2.จัดสรรหลังSK'!$E$4:$Y$98,12,FALSE)</f>
        <v>13896933.67</v>
      </c>
      <c r="T64" s="65">
        <f>IF($I$105&lt;&gt;0,ROUND(ROUND(N64*J64,4)*Q64,2),VLOOKUP($E64,'[1]2.จัดสรรหลังSK'!$E$4:$Q$98,13,FALSE))</f>
        <v>34895780.82</v>
      </c>
      <c r="U64" s="63">
        <f>VLOOKUP($E64,'[1]2.จัดสรรหลังSK'!$E$4:$Y$98,14,FALSE)</f>
        <v>699722.88</v>
      </c>
      <c r="V64" s="63">
        <f>VLOOKUP($E64,'[1]2.จัดสรรหลังSK'!$E$4:$Y$98,15,FALSE)</f>
        <v>0</v>
      </c>
      <c r="W64" s="67">
        <f t="shared" si="46"/>
        <v>120962599.10999998</v>
      </c>
      <c r="X64" s="67">
        <v>59216641</v>
      </c>
      <c r="Y64" s="63">
        <f t="shared" si="47"/>
        <v>61745958.109999999</v>
      </c>
      <c r="Z64" s="69">
        <v>7456085.5599999996</v>
      </c>
      <c r="AA64" s="70">
        <f t="shared" si="48"/>
        <v>69202043.670000002</v>
      </c>
      <c r="AB64" s="67">
        <f>VLOOKUP($E64,'[1]2.จัดสรรหลังSK'!$E$4:$Y$98,21,FALSE)</f>
        <v>67985300.959999993</v>
      </c>
      <c r="AC64" s="67">
        <f t="shared" si="49"/>
        <v>1216742.71</v>
      </c>
      <c r="AD64" s="71" t="str">
        <f t="shared" si="50"/>
        <v>ผ่าน</v>
      </c>
      <c r="AE64" s="72"/>
      <c r="AF64" s="67">
        <f t="shared" si="51"/>
        <v>69202043.670000002</v>
      </c>
      <c r="AG64" s="72"/>
      <c r="AH64" s="72"/>
      <c r="AI64" s="67">
        <f t="shared" si="52"/>
        <v>0</v>
      </c>
      <c r="AJ64" s="67">
        <f t="shared" si="53"/>
        <v>69202043.670000002</v>
      </c>
      <c r="AK64" s="67">
        <f t="shared" si="54"/>
        <v>69202043.670000002</v>
      </c>
    </row>
    <row r="65" spans="1:37" ht="14.25" customHeight="1" outlineLevel="2">
      <c r="A65" s="2">
        <v>549</v>
      </c>
      <c r="B65" s="3" t="s">
        <v>6</v>
      </c>
      <c r="C65" s="3" t="s">
        <v>117</v>
      </c>
      <c r="D65" s="3" t="s">
        <v>118</v>
      </c>
      <c r="E65" s="3" t="s">
        <v>123</v>
      </c>
      <c r="F65" s="3" t="s">
        <v>124</v>
      </c>
      <c r="G65" s="3">
        <v>36</v>
      </c>
      <c r="H65" s="63">
        <v>1.3</v>
      </c>
      <c r="I65" s="64"/>
      <c r="J65" s="65">
        <f t="shared" si="0"/>
        <v>1.3</v>
      </c>
      <c r="K65" s="66">
        <v>23615</v>
      </c>
      <c r="L65" s="67">
        <f>VLOOKUP($E65,'[1]2.จัดสรรหลังSK'!$E$4:$Y$98,5,FALSE)</f>
        <v>1500.3902828710566</v>
      </c>
      <c r="M65" s="67">
        <f>VLOOKUP($E65,'[1]2.จัดสรรหลังSK'!$E$4:$Y$98,6,FALSE)</f>
        <v>291.74166843108196</v>
      </c>
      <c r="N65" s="68">
        <v>1035.9312</v>
      </c>
      <c r="O65" s="68">
        <v>31.698699999999999</v>
      </c>
      <c r="P65" s="68">
        <v>0</v>
      </c>
      <c r="Q65" s="63">
        <f t="shared" si="1"/>
        <v>6992.7660449367131</v>
      </c>
      <c r="R65" s="63">
        <f>VLOOKUP($E65,'[1]2.จัดสรรหลังSK'!$E$4:$Y$98,11,FALSE)</f>
        <v>35431716.530000001</v>
      </c>
      <c r="S65" s="63">
        <f>VLOOKUP($E65,'[1]2.จัดสรรหลังSK'!$E$4:$Y$98,12,FALSE)</f>
        <v>6889479.5</v>
      </c>
      <c r="T65" s="65">
        <f>IF($I$105&lt;&gt;0,ROUND(ROUND(N65*J65,4)*Q65,2),VLOOKUP($E65,'[1]2.จัดสรรหลังSK'!$E$4:$Q$98,13,FALSE))</f>
        <v>9417232.1600000001</v>
      </c>
      <c r="U65" s="63">
        <f>VLOOKUP($E65,'[1]2.จัดสรรหลังSK'!$E$4:$Y$98,14,FALSE)</f>
        <v>304307.52</v>
      </c>
      <c r="V65" s="63">
        <f>VLOOKUP($E65,'[1]2.จัดสรรหลังSK'!$E$4:$Y$98,15,FALSE)</f>
        <v>0</v>
      </c>
      <c r="W65" s="67">
        <f t="shared" si="46"/>
        <v>52042735.710000001</v>
      </c>
      <c r="X65" s="67">
        <v>27044830</v>
      </c>
      <c r="Y65" s="63">
        <f t="shared" si="47"/>
        <v>24997905.710000001</v>
      </c>
      <c r="Z65" s="69">
        <v>0</v>
      </c>
      <c r="AA65" s="70">
        <f t="shared" si="48"/>
        <v>24997905.710000001</v>
      </c>
      <c r="AB65" s="67">
        <f>VLOOKUP($E65,'[1]2.จัดสรรหลังSK'!$E$4:$Y$98,21,FALSE)</f>
        <v>23663704.07</v>
      </c>
      <c r="AC65" s="67">
        <f t="shared" si="49"/>
        <v>1334201.6399999999</v>
      </c>
      <c r="AD65" s="71" t="str">
        <f t="shared" si="50"/>
        <v>ผ่าน</v>
      </c>
      <c r="AE65" s="72"/>
      <c r="AF65" s="67">
        <f t="shared" si="51"/>
        <v>24997905.710000001</v>
      </c>
      <c r="AG65" s="72"/>
      <c r="AH65" s="72"/>
      <c r="AI65" s="67">
        <f t="shared" si="52"/>
        <v>0</v>
      </c>
      <c r="AJ65" s="67">
        <f t="shared" si="53"/>
        <v>24997905.710000001</v>
      </c>
      <c r="AK65" s="67">
        <f t="shared" si="54"/>
        <v>24997905.710000001</v>
      </c>
    </row>
    <row r="66" spans="1:37" ht="14.25" customHeight="1" outlineLevel="2">
      <c r="A66" s="2">
        <v>550</v>
      </c>
      <c r="B66" s="3" t="s">
        <v>6</v>
      </c>
      <c r="C66" s="3" t="s">
        <v>117</v>
      </c>
      <c r="D66" s="3" t="s">
        <v>118</v>
      </c>
      <c r="E66" s="3" t="s">
        <v>125</v>
      </c>
      <c r="F66" s="3" t="s">
        <v>126</v>
      </c>
      <c r="G66" s="3">
        <v>41</v>
      </c>
      <c r="H66" s="63">
        <v>1.3</v>
      </c>
      <c r="I66" s="64"/>
      <c r="J66" s="65">
        <f t="shared" si="0"/>
        <v>1.3</v>
      </c>
      <c r="K66" s="66">
        <v>20444</v>
      </c>
      <c r="L66" s="67">
        <f>VLOOKUP($E66,'[1]2.จัดสรรหลังSK'!$E$4:$Y$98,5,FALSE)</f>
        <v>1541.0543548229309</v>
      </c>
      <c r="M66" s="67">
        <f>VLOOKUP($E66,'[1]2.จัดสรรหลังSK'!$E$4:$Y$98,6,FALSE)</f>
        <v>299.6485472510272</v>
      </c>
      <c r="N66" s="68">
        <v>1600.0196000000001</v>
      </c>
      <c r="O66" s="68">
        <v>32.459099999999999</v>
      </c>
      <c r="P66" s="68">
        <v>0</v>
      </c>
      <c r="Q66" s="63">
        <f t="shared" si="1"/>
        <v>6992.7660449367131</v>
      </c>
      <c r="R66" s="63">
        <f>VLOOKUP($E66,'[1]2.จัดสรรหลังSK'!$E$4:$Y$98,11,FALSE)</f>
        <v>31505315.23</v>
      </c>
      <c r="S66" s="63">
        <f>VLOOKUP($E66,'[1]2.จัดสรรหลังSK'!$E$4:$Y$98,12,FALSE)</f>
        <v>6126014.9000000004</v>
      </c>
      <c r="T66" s="65">
        <f>IF($I$105&lt;&gt;0,ROUND(ROUND(N66*J66,4)*Q66,2),VLOOKUP($E66,'[1]2.จัดสรรหลังSK'!$E$4:$Q$98,13,FALSE))</f>
        <v>14545131.689999999</v>
      </c>
      <c r="U66" s="63">
        <f>VLOOKUP($E66,'[1]2.จัดสรรหลังSK'!$E$4:$Y$98,14,FALSE)</f>
        <v>311607.36</v>
      </c>
      <c r="V66" s="63">
        <f>VLOOKUP($E66,'[1]2.จัดสรรหลังSK'!$E$4:$Y$98,15,FALSE)</f>
        <v>0</v>
      </c>
      <c r="W66" s="67">
        <f t="shared" si="46"/>
        <v>52488069.18</v>
      </c>
      <c r="X66" s="67">
        <v>21829206</v>
      </c>
      <c r="Y66" s="63">
        <f t="shared" si="47"/>
        <v>30658863.18</v>
      </c>
      <c r="Z66" s="69">
        <v>0</v>
      </c>
      <c r="AA66" s="70">
        <f t="shared" si="48"/>
        <v>30658863.18</v>
      </c>
      <c r="AB66" s="67">
        <f>VLOOKUP($E66,'[1]2.จัดสรรหลังSK'!$E$4:$Y$98,21,FALSE)</f>
        <v>29145258.460000001</v>
      </c>
      <c r="AC66" s="67">
        <f t="shared" si="49"/>
        <v>1513604.72</v>
      </c>
      <c r="AD66" s="71" t="str">
        <f t="shared" si="50"/>
        <v>ผ่าน</v>
      </c>
      <c r="AE66" s="72"/>
      <c r="AF66" s="67">
        <f t="shared" si="51"/>
        <v>30658863.18</v>
      </c>
      <c r="AG66" s="72"/>
      <c r="AH66" s="72"/>
      <c r="AI66" s="67">
        <f t="shared" si="52"/>
        <v>0</v>
      </c>
      <c r="AJ66" s="67">
        <f t="shared" si="53"/>
        <v>30658863.18</v>
      </c>
      <c r="AK66" s="67">
        <f t="shared" si="54"/>
        <v>30658863.18</v>
      </c>
    </row>
    <row r="67" spans="1:37" ht="14.25" customHeight="1" outlineLevel="2">
      <c r="A67" s="2">
        <v>551</v>
      </c>
      <c r="B67" s="3" t="s">
        <v>6</v>
      </c>
      <c r="C67" s="3" t="s">
        <v>117</v>
      </c>
      <c r="D67" s="3" t="s">
        <v>118</v>
      </c>
      <c r="E67" s="3" t="s">
        <v>127</v>
      </c>
      <c r="F67" s="3" t="s">
        <v>128</v>
      </c>
      <c r="G67" s="3">
        <v>313</v>
      </c>
      <c r="H67" s="63">
        <v>1.1000000000000001</v>
      </c>
      <c r="I67" s="64"/>
      <c r="J67" s="65">
        <f t="shared" si="0"/>
        <v>1.1000000000000001</v>
      </c>
      <c r="K67" s="66">
        <v>63858</v>
      </c>
      <c r="L67" s="67">
        <f>VLOOKUP($E67,'[1]2.จัดสรรหลังSK'!$E$4:$Y$98,5,FALSE)</f>
        <v>1186.4761713489304</v>
      </c>
      <c r="M67" s="67">
        <f>VLOOKUP($E67,'[1]2.จัดสรรหลังSK'!$E$4:$Y$98,6,FALSE)</f>
        <v>230.70299915437374</v>
      </c>
      <c r="N67" s="68">
        <v>15479.2256</v>
      </c>
      <c r="O67" s="68">
        <v>185.00049999999999</v>
      </c>
      <c r="P67" s="68">
        <v>272.47050000000002</v>
      </c>
      <c r="Q67" s="63">
        <f t="shared" si="1"/>
        <v>6992.7660449367131</v>
      </c>
      <c r="R67" s="63">
        <f>VLOOKUP($E67,'[1]2.จัดสรรหลังSK'!$E$4:$Y$98,11,FALSE)</f>
        <v>75765995.349999994</v>
      </c>
      <c r="S67" s="63">
        <f>VLOOKUP($E67,'[1]2.จัดสรรหลังSK'!$E$4:$Y$98,12,FALSE)</f>
        <v>14732232.119999999</v>
      </c>
      <c r="T67" s="65">
        <f>IF($I$105&lt;&gt;0,ROUND(ROUND(N67*J67,4)*Q67,2),VLOOKUP($E67,'[1]2.จัดสรรหลังSK'!$E$4:$Q$98,13,FALSE))</f>
        <v>119066863.78</v>
      </c>
      <c r="U67" s="63">
        <f>VLOOKUP($E67,'[1]2.จัดสรรหลังSK'!$E$4:$Y$98,14,FALSE)</f>
        <v>1776004.8</v>
      </c>
      <c r="V67" s="63">
        <f>VLOOKUP($E67,'[1]2.จัดสรรหลังSK'!$E$4:$Y$98,15,FALSE)</f>
        <v>2452234.5</v>
      </c>
      <c r="W67" s="67">
        <f t="shared" si="46"/>
        <v>213793330.55000001</v>
      </c>
      <c r="X67" s="67">
        <v>101286529</v>
      </c>
      <c r="Y67" s="63">
        <f t="shared" si="47"/>
        <v>112506801.55</v>
      </c>
      <c r="Z67" s="69">
        <v>15385742.85</v>
      </c>
      <c r="AA67" s="70">
        <f t="shared" si="48"/>
        <v>127892544.40000001</v>
      </c>
      <c r="AB67" s="67">
        <f>VLOOKUP($E67,'[1]2.จัดสรรหลังSK'!$E$4:$Y$98,21,FALSE)</f>
        <v>128737246.33</v>
      </c>
      <c r="AC67" s="67">
        <f t="shared" si="49"/>
        <v>-844701.93</v>
      </c>
      <c r="AD67" s="71" t="str">
        <f t="shared" si="50"/>
        <v>ไม่ผ่าน</v>
      </c>
      <c r="AE67" s="72"/>
      <c r="AF67" s="67">
        <f t="shared" si="51"/>
        <v>127892544.40000001</v>
      </c>
      <c r="AG67" s="72"/>
      <c r="AH67" s="72"/>
      <c r="AI67" s="67">
        <f t="shared" si="52"/>
        <v>0</v>
      </c>
      <c r="AJ67" s="67">
        <f t="shared" si="53"/>
        <v>127892544.40000001</v>
      </c>
      <c r="AK67" s="67">
        <f t="shared" si="54"/>
        <v>127892544.40000001</v>
      </c>
    </row>
    <row r="68" spans="1:37" ht="14.25" customHeight="1" outlineLevel="2">
      <c r="A68" s="2">
        <v>552</v>
      </c>
      <c r="B68" s="3" t="s">
        <v>6</v>
      </c>
      <c r="C68" s="3" t="s">
        <v>117</v>
      </c>
      <c r="D68" s="3" t="s">
        <v>118</v>
      </c>
      <c r="E68" s="3" t="s">
        <v>129</v>
      </c>
      <c r="F68" s="3" t="s">
        <v>130</v>
      </c>
      <c r="G68" s="3">
        <v>28</v>
      </c>
      <c r="H68" s="63">
        <v>1.3</v>
      </c>
      <c r="I68" s="64"/>
      <c r="J68" s="65">
        <f t="shared" si="0"/>
        <v>1.3</v>
      </c>
      <c r="K68" s="66">
        <v>20258</v>
      </c>
      <c r="L68" s="67">
        <f>VLOOKUP($E68,'[1]2.จัดสรรหลังSK'!$E$4:$Y$98,5,FALSE)</f>
        <v>1543.83482969691</v>
      </c>
      <c r="M68" s="67">
        <f>VLOOKUP($E68,'[1]2.จัดสรรหลังSK'!$E$4:$Y$98,6,FALSE)</f>
        <v>300.18919389870672</v>
      </c>
      <c r="N68" s="68">
        <v>764.00919999999996</v>
      </c>
      <c r="O68" s="68">
        <v>14.5219</v>
      </c>
      <c r="P68" s="68">
        <v>0</v>
      </c>
      <c r="Q68" s="63">
        <f t="shared" si="1"/>
        <v>6992.7660449367131</v>
      </c>
      <c r="R68" s="63">
        <f>VLOOKUP($E68,'[1]2.จัดสรรหลังSK'!$E$4:$Y$98,11,FALSE)</f>
        <v>31275005.98</v>
      </c>
      <c r="S68" s="63">
        <f>VLOOKUP($E68,'[1]2.จัดสรรหลังSK'!$E$4:$Y$98,12,FALSE)</f>
        <v>6081232.6900000004</v>
      </c>
      <c r="T68" s="65">
        <f>IF($I$105&lt;&gt;0,ROUND(ROUND(N68*J68,4)*Q68,2),VLOOKUP($E68,'[1]2.จัดสรรหลังSK'!$E$4:$Q$98,13,FALSE))</f>
        <v>6945299.1500000004</v>
      </c>
      <c r="U68" s="63">
        <f>VLOOKUP($E68,'[1]2.จัดสรรหลังSK'!$E$4:$Y$98,14,FALSE)</f>
        <v>139410.23999999999</v>
      </c>
      <c r="V68" s="63">
        <f>VLOOKUP($E68,'[1]2.จัดสรรหลังSK'!$E$4:$Y$98,15,FALSE)</f>
        <v>0</v>
      </c>
      <c r="W68" s="67">
        <f t="shared" si="46"/>
        <v>44440948.060000002</v>
      </c>
      <c r="X68" s="67">
        <v>16595595</v>
      </c>
      <c r="Y68" s="63">
        <f t="shared" si="47"/>
        <v>27845353.059999999</v>
      </c>
      <c r="Z68" s="69">
        <v>0</v>
      </c>
      <c r="AA68" s="70">
        <f t="shared" si="48"/>
        <v>27845353.059999999</v>
      </c>
      <c r="AB68" s="67">
        <f>VLOOKUP($E68,'[1]2.จัดสรรหลังSK'!$E$4:$Y$98,21,FALSE)</f>
        <v>23142609.149999999</v>
      </c>
      <c r="AC68" s="67">
        <f t="shared" si="49"/>
        <v>4702743.91</v>
      </c>
      <c r="AD68" s="71" t="str">
        <f t="shared" si="50"/>
        <v>ผ่าน</v>
      </c>
      <c r="AE68" s="72"/>
      <c r="AF68" s="67">
        <f t="shared" si="51"/>
        <v>27845353.059999999</v>
      </c>
      <c r="AG68" s="72"/>
      <c r="AH68" s="72"/>
      <c r="AI68" s="67">
        <f t="shared" si="52"/>
        <v>0</v>
      </c>
      <c r="AJ68" s="67">
        <f t="shared" si="53"/>
        <v>27845353.059999999</v>
      </c>
      <c r="AK68" s="67">
        <f t="shared" si="54"/>
        <v>27845353.059999999</v>
      </c>
    </row>
    <row r="69" spans="1:37" ht="14.25" customHeight="1" outlineLevel="2">
      <c r="A69" s="2">
        <v>553</v>
      </c>
      <c r="B69" s="3" t="s">
        <v>6</v>
      </c>
      <c r="C69" s="3" t="s">
        <v>117</v>
      </c>
      <c r="D69" s="3" t="s">
        <v>118</v>
      </c>
      <c r="E69" s="3" t="s">
        <v>131</v>
      </c>
      <c r="F69" s="3" t="s">
        <v>132</v>
      </c>
      <c r="G69" s="3">
        <v>23</v>
      </c>
      <c r="H69" s="63">
        <v>1.35</v>
      </c>
      <c r="I69" s="64"/>
      <c r="J69" s="65">
        <f t="shared" si="0"/>
        <v>1.35</v>
      </c>
      <c r="K69" s="66">
        <v>11935</v>
      </c>
      <c r="L69" s="67">
        <f>VLOOKUP($E69,'[1]2.จัดสรรหลังSK'!$E$4:$Y$98,5,FALSE)</f>
        <v>1637.4258592375365</v>
      </c>
      <c r="M69" s="67">
        <f>VLOOKUP($E69,'[1]2.จัดสรรหลังSK'!$E$4:$Y$98,6,FALSE)</f>
        <v>318.38739421868451</v>
      </c>
      <c r="N69" s="68">
        <v>747.43359999999996</v>
      </c>
      <c r="O69" s="68">
        <v>16.221900000000002</v>
      </c>
      <c r="P69" s="68">
        <v>0</v>
      </c>
      <c r="Q69" s="63">
        <f t="shared" si="1"/>
        <v>6992.7660449367131</v>
      </c>
      <c r="R69" s="63">
        <f>VLOOKUP($E69,'[1]2.จัดสรรหลังSK'!$E$4:$Y$98,11,FALSE)</f>
        <v>19542677.629999999</v>
      </c>
      <c r="S69" s="63">
        <f>VLOOKUP($E69,'[1]2.จัดสรรหลังSK'!$E$4:$Y$98,12,FALSE)</f>
        <v>3799953.55</v>
      </c>
      <c r="T69" s="65">
        <f>IF($I$105&lt;&gt;0,ROUND(ROUND(N69*J69,4)*Q69,2),VLOOKUP($E69,'[1]2.จัดสรรหลังSK'!$E$4:$Q$98,13,FALSE))</f>
        <v>7055948.4800000004</v>
      </c>
      <c r="U69" s="63">
        <f>VLOOKUP($E69,'[1]2.จัดสรรหลังSK'!$E$4:$Y$98,14,FALSE)</f>
        <v>155730.23999999999</v>
      </c>
      <c r="V69" s="63">
        <f>VLOOKUP($E69,'[1]2.จัดสรรหลังSK'!$E$4:$Y$98,15,FALSE)</f>
        <v>0</v>
      </c>
      <c r="W69" s="67">
        <f t="shared" si="46"/>
        <v>30554309.899999999</v>
      </c>
      <c r="X69" s="67">
        <v>11433521</v>
      </c>
      <c r="Y69" s="63">
        <f t="shared" si="47"/>
        <v>19120788.899999999</v>
      </c>
      <c r="Z69" s="69">
        <v>0</v>
      </c>
      <c r="AA69" s="70">
        <f t="shared" si="48"/>
        <v>19120788.899999999</v>
      </c>
      <c r="AB69" s="67">
        <f>VLOOKUP($E69,'[1]2.จัดสรรหลังSK'!$E$4:$Y$98,21,FALSE)</f>
        <v>14052343.65</v>
      </c>
      <c r="AC69" s="67">
        <f t="shared" si="49"/>
        <v>5068445.25</v>
      </c>
      <c r="AD69" s="71" t="str">
        <f t="shared" si="50"/>
        <v>ผ่าน</v>
      </c>
      <c r="AE69" s="72"/>
      <c r="AF69" s="67">
        <f t="shared" si="51"/>
        <v>19120788.899999999</v>
      </c>
      <c r="AG69" s="72"/>
      <c r="AH69" s="72"/>
      <c r="AI69" s="67">
        <f t="shared" si="52"/>
        <v>0</v>
      </c>
      <c r="AJ69" s="67">
        <f t="shared" si="53"/>
        <v>19120788.899999999</v>
      </c>
      <c r="AK69" s="67">
        <f t="shared" si="54"/>
        <v>19120788.899999999</v>
      </c>
    </row>
    <row r="70" spans="1:37" ht="14.25" customHeight="1" outlineLevel="2">
      <c r="A70" s="2">
        <v>554</v>
      </c>
      <c r="B70" s="3" t="s">
        <v>6</v>
      </c>
      <c r="C70" s="3" t="s">
        <v>117</v>
      </c>
      <c r="D70" s="3" t="s">
        <v>118</v>
      </c>
      <c r="E70" s="3" t="s">
        <v>133</v>
      </c>
      <c r="F70" s="3" t="s">
        <v>134</v>
      </c>
      <c r="G70" s="3">
        <v>28</v>
      </c>
      <c r="H70" s="63">
        <v>1.25</v>
      </c>
      <c r="I70" s="64"/>
      <c r="J70" s="65">
        <f t="shared" si="0"/>
        <v>1.25</v>
      </c>
      <c r="K70" s="66">
        <v>36734</v>
      </c>
      <c r="L70" s="67">
        <f>VLOOKUP($E70,'[1]2.จัดสรรหลังSK'!$E$4:$Y$98,5,FALSE)</f>
        <v>1374.3338280611968</v>
      </c>
      <c r="M70" s="67">
        <f>VLOOKUP($E70,'[1]2.จัดสรรหลังSK'!$E$4:$Y$98,6,FALSE)</f>
        <v>267.23076577557572</v>
      </c>
      <c r="N70" s="68">
        <v>1199.5108</v>
      </c>
      <c r="O70" s="68">
        <v>26.208500000000001</v>
      </c>
      <c r="P70" s="68">
        <v>0</v>
      </c>
      <c r="Q70" s="63">
        <f t="shared" si="1"/>
        <v>6992.7660449367131</v>
      </c>
      <c r="R70" s="63">
        <f>VLOOKUP($E70,'[1]2.จัดสรรหลังSK'!$E$4:$Y$98,11,FALSE)</f>
        <v>50484778.840000004</v>
      </c>
      <c r="S70" s="63">
        <f>VLOOKUP($E70,'[1]2.จัดสรรหลังSK'!$E$4:$Y$98,12,FALSE)</f>
        <v>9816454.9499999993</v>
      </c>
      <c r="T70" s="65">
        <f>IF($I$105&lt;&gt;0,ROUND(ROUND(N70*J70,4)*Q70,2),VLOOKUP($E70,'[1]2.จัดสรรหลังSK'!$E$4:$Q$98,13,FALSE))</f>
        <v>10484872.99</v>
      </c>
      <c r="U70" s="63">
        <f>VLOOKUP($E70,'[1]2.จัดสรรหลังSK'!$E$4:$Y$98,14,FALSE)</f>
        <v>251601.6</v>
      </c>
      <c r="V70" s="63">
        <f>VLOOKUP($E70,'[1]2.จัดสรรหลังSK'!$E$4:$Y$98,15,FALSE)</f>
        <v>0</v>
      </c>
      <c r="W70" s="67">
        <f t="shared" si="46"/>
        <v>71037708.379999995</v>
      </c>
      <c r="X70" s="67">
        <v>17775711</v>
      </c>
      <c r="Y70" s="63">
        <f t="shared" si="47"/>
        <v>53261997.380000003</v>
      </c>
      <c r="Z70" s="69">
        <v>0</v>
      </c>
      <c r="AA70" s="70">
        <f t="shared" si="48"/>
        <v>53261997.380000003</v>
      </c>
      <c r="AB70" s="67">
        <f>VLOOKUP($E70,'[1]2.จัดสรรหลังSK'!$E$4:$Y$98,21,FALSE)</f>
        <v>48271510.189999998</v>
      </c>
      <c r="AC70" s="67">
        <f t="shared" si="49"/>
        <v>4990487.1900000004</v>
      </c>
      <c r="AD70" s="71" t="str">
        <f t="shared" si="50"/>
        <v>ผ่าน</v>
      </c>
      <c r="AE70" s="72"/>
      <c r="AF70" s="67">
        <f t="shared" si="51"/>
        <v>53261997.380000003</v>
      </c>
      <c r="AG70" s="72"/>
      <c r="AH70" s="72"/>
      <c r="AI70" s="67">
        <f t="shared" si="52"/>
        <v>0</v>
      </c>
      <c r="AJ70" s="67">
        <f t="shared" si="53"/>
        <v>53261997.380000003</v>
      </c>
      <c r="AK70" s="67">
        <f t="shared" si="54"/>
        <v>53261997.380000003</v>
      </c>
    </row>
    <row r="71" spans="1:37" ht="14.25" customHeight="1" outlineLevel="2">
      <c r="A71" s="2">
        <v>555</v>
      </c>
      <c r="B71" s="3" t="s">
        <v>6</v>
      </c>
      <c r="C71" s="3" t="s">
        <v>117</v>
      </c>
      <c r="D71" s="3" t="s">
        <v>118</v>
      </c>
      <c r="E71" s="3" t="s">
        <v>135</v>
      </c>
      <c r="F71" s="3" t="s">
        <v>136</v>
      </c>
      <c r="G71" s="3">
        <v>30</v>
      </c>
      <c r="H71" s="63">
        <v>1.3</v>
      </c>
      <c r="I71" s="64"/>
      <c r="J71" s="65">
        <f t="shared" si="0"/>
        <v>1.3</v>
      </c>
      <c r="K71" s="66">
        <v>29056</v>
      </c>
      <c r="L71" s="67">
        <f>VLOOKUP($E71,'[1]2.จัดสรรหลังSK'!$E$4:$Y$98,5,FALSE)</f>
        <v>1451.2968505644274</v>
      </c>
      <c r="M71" s="67">
        <f>VLOOKUP($E71,'[1]2.จัดสรรหลังSK'!$E$4:$Y$98,6,FALSE)</f>
        <v>282.19575268447136</v>
      </c>
      <c r="N71" s="68">
        <v>756.48389999999995</v>
      </c>
      <c r="O71" s="68">
        <v>16.392700000000001</v>
      </c>
      <c r="P71" s="68">
        <v>0</v>
      </c>
      <c r="Q71" s="63">
        <f t="shared" si="1"/>
        <v>6992.7660449367131</v>
      </c>
      <c r="R71" s="63">
        <f>VLOOKUP($E71,'[1]2.จัดสรรหลังSK'!$E$4:$Y$98,11,FALSE)</f>
        <v>42168881.289999999</v>
      </c>
      <c r="S71" s="63">
        <f>VLOOKUP($E71,'[1]2.จัดสรรหลังSK'!$E$4:$Y$98,12,FALSE)</f>
        <v>8199479.79</v>
      </c>
      <c r="T71" s="65">
        <f>IF($I$105&lt;&gt;0,ROUND(ROUND(N71*J71,4)*Q71,2),VLOOKUP($E71,'[1]2.จัดสรรหลังSK'!$E$4:$Q$98,13,FALSE))</f>
        <v>6876889.6200000001</v>
      </c>
      <c r="U71" s="63">
        <f>VLOOKUP($E71,'[1]2.จัดสรรหลังSK'!$E$4:$Y$98,14,FALSE)</f>
        <v>157369.92000000001</v>
      </c>
      <c r="V71" s="63">
        <f>VLOOKUP($E71,'[1]2.จัดสรรหลังSK'!$E$4:$Y$98,15,FALSE)</f>
        <v>0</v>
      </c>
      <c r="W71" s="67">
        <f t="shared" si="46"/>
        <v>57402620.619999997</v>
      </c>
      <c r="X71" s="67">
        <v>15437218</v>
      </c>
      <c r="Y71" s="63">
        <f t="shared" si="47"/>
        <v>41965402.619999997</v>
      </c>
      <c r="Z71" s="69">
        <v>0</v>
      </c>
      <c r="AA71" s="70">
        <f t="shared" si="48"/>
        <v>41965402.619999997</v>
      </c>
      <c r="AB71" s="67">
        <f>VLOOKUP($E71,'[1]2.จัดสรรหลังSK'!$E$4:$Y$98,21,FALSE)</f>
        <v>32168260.719999999</v>
      </c>
      <c r="AC71" s="67">
        <f t="shared" si="49"/>
        <v>9797141.9000000004</v>
      </c>
      <c r="AD71" s="71" t="str">
        <f t="shared" si="50"/>
        <v>ผ่าน</v>
      </c>
      <c r="AE71" s="72"/>
      <c r="AF71" s="67">
        <f t="shared" si="51"/>
        <v>41965402.619999997</v>
      </c>
      <c r="AG71" s="72"/>
      <c r="AH71" s="72"/>
      <c r="AI71" s="67">
        <f t="shared" si="52"/>
        <v>0</v>
      </c>
      <c r="AJ71" s="67">
        <f t="shared" si="53"/>
        <v>41965402.619999997</v>
      </c>
      <c r="AK71" s="67">
        <f t="shared" si="54"/>
        <v>41965402.619999997</v>
      </c>
    </row>
    <row r="72" spans="1:37" ht="14.25" customHeight="1" outlineLevel="1">
      <c r="A72" s="4"/>
      <c r="B72" s="5"/>
      <c r="C72" s="73"/>
      <c r="D72" s="6" t="s">
        <v>137</v>
      </c>
      <c r="E72" s="5"/>
      <c r="F72" s="5"/>
      <c r="G72" s="5"/>
      <c r="H72" s="74"/>
      <c r="I72" s="75"/>
      <c r="J72" s="76"/>
      <c r="K72" s="77">
        <f>SUBTOTAL(9,K63:K71)</f>
        <v>378565</v>
      </c>
      <c r="L72" s="78"/>
      <c r="M72" s="78"/>
      <c r="N72" s="79">
        <f t="shared" ref="N72:AC72" si="55">SUBTOTAL(9,N63:N71)</f>
        <v>50777.899799999992</v>
      </c>
      <c r="O72" s="79">
        <f t="shared" si="55"/>
        <v>1197.6482000000001</v>
      </c>
      <c r="P72" s="79">
        <f t="shared" si="55"/>
        <v>1044.0745000000002</v>
      </c>
      <c r="Q72" s="74"/>
      <c r="R72" s="74">
        <f t="shared" si="55"/>
        <v>474365774.99000007</v>
      </c>
      <c r="S72" s="74">
        <f t="shared" si="55"/>
        <v>92237509.350000009</v>
      </c>
      <c r="T72" s="76">
        <f t="shared" si="55"/>
        <v>401871603.86000001</v>
      </c>
      <c r="U72" s="74">
        <f t="shared" si="55"/>
        <v>11497422.720000001</v>
      </c>
      <c r="V72" s="74">
        <f t="shared" si="55"/>
        <v>9396670.5</v>
      </c>
      <c r="W72" s="78">
        <f t="shared" si="55"/>
        <v>989368981.41999996</v>
      </c>
      <c r="X72" s="78">
        <f t="shared" si="55"/>
        <v>478633827</v>
      </c>
      <c r="Y72" s="74">
        <f t="shared" si="55"/>
        <v>510735154.41999996</v>
      </c>
      <c r="Z72" s="74">
        <f t="shared" si="55"/>
        <v>23147718.169999998</v>
      </c>
      <c r="AA72" s="80">
        <f t="shared" si="55"/>
        <v>533882872.58999997</v>
      </c>
      <c r="AB72" s="78">
        <f t="shared" si="55"/>
        <v>507470462.43999994</v>
      </c>
      <c r="AC72" s="78">
        <f t="shared" si="55"/>
        <v>26412410.149999999</v>
      </c>
      <c r="AD72" s="81"/>
      <c r="AE72" s="82">
        <f t="shared" ref="AE72:AK72" si="56">SUBTOTAL(9,AE63:AE71)</f>
        <v>0</v>
      </c>
      <c r="AF72" s="78">
        <f t="shared" si="56"/>
        <v>533882872.58999997</v>
      </c>
      <c r="AG72" s="82">
        <f t="shared" si="56"/>
        <v>0</v>
      </c>
      <c r="AH72" s="82">
        <f t="shared" si="56"/>
        <v>0</v>
      </c>
      <c r="AI72" s="78">
        <f t="shared" si="56"/>
        <v>0</v>
      </c>
      <c r="AJ72" s="78">
        <f t="shared" si="56"/>
        <v>533882872.58999997</v>
      </c>
      <c r="AK72" s="78">
        <f t="shared" si="56"/>
        <v>533882872.58999997</v>
      </c>
    </row>
    <row r="73" spans="1:37" ht="14.25" customHeight="1" outlineLevel="2">
      <c r="A73" s="51">
        <v>556</v>
      </c>
      <c r="B73" s="52" t="s">
        <v>6</v>
      </c>
      <c r="C73" s="3" t="s">
        <v>138</v>
      </c>
      <c r="D73" s="52" t="s">
        <v>139</v>
      </c>
      <c r="E73" s="52" t="s">
        <v>140</v>
      </c>
      <c r="F73" s="52" t="s">
        <v>141</v>
      </c>
      <c r="G73" s="52">
        <v>999</v>
      </c>
      <c r="H73" s="53">
        <v>1.05</v>
      </c>
      <c r="I73" s="54"/>
      <c r="J73" s="55">
        <f t="shared" si="0"/>
        <v>1.05</v>
      </c>
      <c r="K73" s="56">
        <v>144119</v>
      </c>
      <c r="L73" s="57">
        <f>VLOOKUP($E73,'[1]2.จัดสรรหลังSK'!$E$4:$Y$98,5,FALSE)</f>
        <v>933.61620077852342</v>
      </c>
      <c r="M73" s="57">
        <f>VLOOKUP($E73,'[1]2.จัดสรรหลังSK'!$E$4:$Y$98,6,FALSE)</f>
        <v>186.95914320804337</v>
      </c>
      <c r="N73" s="58">
        <v>64935.822200000002</v>
      </c>
      <c r="O73" s="58">
        <v>1697.0589</v>
      </c>
      <c r="P73" s="58">
        <v>3289.3168000000001</v>
      </c>
      <c r="Q73" s="53">
        <f t="shared" si="1"/>
        <v>6992.7660449367131</v>
      </c>
      <c r="R73" s="53">
        <f>VLOOKUP($E73,'[1]2.จัดสรรหลังSK'!$E$4:$Y$98,11,FALSE)</f>
        <v>134551833.24000001</v>
      </c>
      <c r="S73" s="53">
        <f>VLOOKUP($E73,'[1]2.จัดสรรหลังSK'!$E$4:$Y$98,12,FALSE)</f>
        <v>26944364.760000002</v>
      </c>
      <c r="T73" s="55">
        <f>IF($I$105&lt;&gt;0,ROUND(ROUND(N73*J73,4)*Q73,2),VLOOKUP($E73,'[1]2.จัดสรรหลังSK'!$E$4:$Q$98,13,FALSE))</f>
        <v>476785063.13999999</v>
      </c>
      <c r="U73" s="53">
        <f>VLOOKUP($E73,'[1]2.จัดสรรหลังSK'!$E$4:$Y$98,14,FALSE)</f>
        <v>16291765.439999999</v>
      </c>
      <c r="V73" s="53">
        <f>VLOOKUP($E73,'[1]2.จัดสรรหลังSK'!$E$4:$Y$98,15,FALSE)</f>
        <v>29603851.199999999</v>
      </c>
      <c r="W73" s="57">
        <f t="shared" ref="W73:W90" si="57">SUM(R73:V73)</f>
        <v>684176877.78000009</v>
      </c>
      <c r="X73" s="57">
        <v>323766736</v>
      </c>
      <c r="Y73" s="53">
        <f t="shared" ref="Y73:Y90" si="58">ROUND(W73-X73,2)</f>
        <v>360410141.77999997</v>
      </c>
      <c r="Z73" s="59">
        <v>0</v>
      </c>
      <c r="AA73" s="60">
        <f t="shared" ref="AA73:AA90" si="59">ROUND(Y73+Z73,2)</f>
        <v>360410141.77999997</v>
      </c>
      <c r="AB73" s="57">
        <f>VLOOKUP($E73,'[1]2.จัดสรรหลังSK'!$E$4:$Y$98,21,FALSE)</f>
        <v>335430338.27999997</v>
      </c>
      <c r="AC73" s="57">
        <f t="shared" ref="AC73:AC90" si="60">ROUND(AA73-AB73,2)</f>
        <v>24979803.5</v>
      </c>
      <c r="AD73" s="61" t="str">
        <f t="shared" ref="AD73:AD90" si="61">IF(AA73&gt;=AB73,"ผ่าน","ไม่ผ่าน")</f>
        <v>ผ่าน</v>
      </c>
      <c r="AE73" s="62"/>
      <c r="AF73" s="57">
        <f t="shared" ref="AF73:AF90" si="62">ROUND(AA73+AE73,2)</f>
        <v>360410141.77999997</v>
      </c>
      <c r="AG73" s="62"/>
      <c r="AH73" s="62"/>
      <c r="AI73" s="57">
        <f t="shared" ref="AI73:AI90" si="63">ROUND(AG73+AH73,2)</f>
        <v>0</v>
      </c>
      <c r="AJ73" s="57">
        <f t="shared" ref="AJ73:AJ90" si="64">ROUND(AA73-AI73,2)</f>
        <v>360410141.77999997</v>
      </c>
      <c r="AK73" s="57">
        <f t="shared" ref="AK73:AK90" si="65">ROUND(AF73-AI73,2)</f>
        <v>360410141.77999997</v>
      </c>
    </row>
    <row r="74" spans="1:37" ht="14.25" customHeight="1" outlineLevel="2">
      <c r="A74" s="2">
        <v>557</v>
      </c>
      <c r="B74" s="3" t="s">
        <v>6</v>
      </c>
      <c r="C74" s="3" t="s">
        <v>138</v>
      </c>
      <c r="D74" s="3" t="s">
        <v>139</v>
      </c>
      <c r="E74" s="3" t="s">
        <v>142</v>
      </c>
      <c r="F74" s="3" t="s">
        <v>143</v>
      </c>
      <c r="G74" s="3">
        <v>40</v>
      </c>
      <c r="H74" s="63">
        <v>1.25</v>
      </c>
      <c r="I74" s="64"/>
      <c r="J74" s="65">
        <f t="shared" ref="J74:J103" si="66">IF(I74&lt;&gt;"",ROUND(I74,2),H74)</f>
        <v>1.25</v>
      </c>
      <c r="K74" s="66">
        <v>35944</v>
      </c>
      <c r="L74" s="67">
        <f>VLOOKUP($E74,'[1]2.จัดสรรหลังSK'!$E$4:$Y$98,5,FALSE)</f>
        <v>1329.90210021144</v>
      </c>
      <c r="M74" s="67">
        <f>VLOOKUP($E74,'[1]2.จัดสรรหลังSK'!$E$4:$Y$98,6,FALSE)</f>
        <v>266.31645531938568</v>
      </c>
      <c r="N74" s="68">
        <v>1801.1591000000001</v>
      </c>
      <c r="O74" s="68">
        <v>37.211599999999997</v>
      </c>
      <c r="P74" s="68">
        <v>0</v>
      </c>
      <c r="Q74" s="63">
        <f t="shared" ref="Q74:Q103" si="67">$Q$7</f>
        <v>6992.7660449367131</v>
      </c>
      <c r="R74" s="63">
        <f>VLOOKUP($E74,'[1]2.จัดสรรหลังSK'!$E$4:$Y$98,11,FALSE)</f>
        <v>47802001.090000004</v>
      </c>
      <c r="S74" s="63">
        <f>VLOOKUP($E74,'[1]2.จัดสรรหลังSK'!$E$4:$Y$98,12,FALSE)</f>
        <v>9572478.6699999999</v>
      </c>
      <c r="T74" s="65">
        <f>IF($I$105&lt;&gt;0,ROUND(ROUND(N74*J74,4)*Q74,2),VLOOKUP($E74,'[1]2.จัดสรรหลังSK'!$E$4:$Q$98,13,FALSE))</f>
        <v>15743855.42</v>
      </c>
      <c r="U74" s="63">
        <f>VLOOKUP($E74,'[1]2.จัดสรรหลังSK'!$E$4:$Y$98,14,FALSE)</f>
        <v>357231.35999999999</v>
      </c>
      <c r="V74" s="63">
        <f>VLOOKUP($E74,'[1]2.จัดสรรหลังSK'!$E$4:$Y$98,15,FALSE)</f>
        <v>0</v>
      </c>
      <c r="W74" s="67">
        <f t="shared" si="57"/>
        <v>73475566.540000007</v>
      </c>
      <c r="X74" s="67">
        <v>25518937</v>
      </c>
      <c r="Y74" s="63">
        <f t="shared" si="58"/>
        <v>47956629.539999999</v>
      </c>
      <c r="Z74" s="69">
        <v>0</v>
      </c>
      <c r="AA74" s="70">
        <f t="shared" si="59"/>
        <v>47956629.539999999</v>
      </c>
      <c r="AB74" s="67">
        <f>VLOOKUP($E74,'[1]2.จัดสรรหลังSK'!$E$4:$Y$98,21,FALSE)</f>
        <v>40614513.039999999</v>
      </c>
      <c r="AC74" s="67">
        <f t="shared" si="60"/>
        <v>7342116.5</v>
      </c>
      <c r="AD74" s="71" t="str">
        <f t="shared" si="61"/>
        <v>ผ่าน</v>
      </c>
      <c r="AE74" s="72"/>
      <c r="AF74" s="67">
        <f t="shared" si="62"/>
        <v>47956629.539999999</v>
      </c>
      <c r="AG74" s="72"/>
      <c r="AH74" s="72"/>
      <c r="AI74" s="67">
        <f t="shared" si="63"/>
        <v>0</v>
      </c>
      <c r="AJ74" s="67">
        <f t="shared" si="64"/>
        <v>47956629.539999999</v>
      </c>
      <c r="AK74" s="67">
        <f t="shared" si="65"/>
        <v>47956629.539999999</v>
      </c>
    </row>
    <row r="75" spans="1:37" ht="14.25" customHeight="1" outlineLevel="2">
      <c r="A75" s="2">
        <v>558</v>
      </c>
      <c r="B75" s="3" t="s">
        <v>6</v>
      </c>
      <c r="C75" s="3" t="s">
        <v>138</v>
      </c>
      <c r="D75" s="3" t="s">
        <v>139</v>
      </c>
      <c r="E75" s="3" t="s">
        <v>144</v>
      </c>
      <c r="F75" s="3" t="s">
        <v>145</v>
      </c>
      <c r="G75" s="3">
        <v>39</v>
      </c>
      <c r="H75" s="63">
        <v>1.3</v>
      </c>
      <c r="I75" s="64"/>
      <c r="J75" s="65">
        <f t="shared" si="66"/>
        <v>1.3</v>
      </c>
      <c r="K75" s="66">
        <v>24067</v>
      </c>
      <c r="L75" s="67">
        <f>VLOOKUP($E75,'[1]2.จัดสรรหลังSK'!$E$4:$Y$98,5,FALSE)</f>
        <v>1439.9110337806956</v>
      </c>
      <c r="M75" s="67">
        <f>VLOOKUP($E75,'[1]2.จัดสรรหลังSK'!$E$4:$Y$98,6,FALSE)</f>
        <v>288.34603897452945</v>
      </c>
      <c r="N75" s="68">
        <v>1380.0408</v>
      </c>
      <c r="O75" s="68">
        <v>11.3102</v>
      </c>
      <c r="P75" s="68">
        <v>0</v>
      </c>
      <c r="Q75" s="63">
        <f t="shared" si="67"/>
        <v>6992.7660449367131</v>
      </c>
      <c r="R75" s="63">
        <f>VLOOKUP($E75,'[1]2.จัดสรรหลังSK'!$E$4:$Y$98,11,FALSE)</f>
        <v>34654338.850000001</v>
      </c>
      <c r="S75" s="63">
        <f>VLOOKUP($E75,'[1]2.จัดสรรหลังSK'!$E$4:$Y$98,12,FALSE)</f>
        <v>6939624.1200000001</v>
      </c>
      <c r="T75" s="65">
        <f>IF($I$105&lt;&gt;0,ROUND(ROUND(N75*J75,4)*Q75,2),VLOOKUP($E75,'[1]2.จัดสรรหลังSK'!$E$4:$Q$98,13,FALSE))</f>
        <v>12545392.9</v>
      </c>
      <c r="U75" s="63">
        <f>VLOOKUP($E75,'[1]2.จัดสรรหลังSK'!$E$4:$Y$98,14,FALSE)</f>
        <v>108577.92</v>
      </c>
      <c r="V75" s="63">
        <f>VLOOKUP($E75,'[1]2.จัดสรรหลังSK'!$E$4:$Y$98,15,FALSE)</f>
        <v>0</v>
      </c>
      <c r="W75" s="67">
        <f t="shared" si="57"/>
        <v>54247933.789999999</v>
      </c>
      <c r="X75" s="67">
        <v>23543178</v>
      </c>
      <c r="Y75" s="63">
        <f t="shared" si="58"/>
        <v>30704755.789999999</v>
      </c>
      <c r="Z75" s="69">
        <v>0</v>
      </c>
      <c r="AA75" s="70">
        <f t="shared" si="59"/>
        <v>30704755.789999999</v>
      </c>
      <c r="AB75" s="67">
        <f>VLOOKUP($E75,'[1]2.จัดสรรหลังSK'!$E$4:$Y$98,21,FALSE)</f>
        <v>27603016.539999999</v>
      </c>
      <c r="AC75" s="67">
        <f t="shared" si="60"/>
        <v>3101739.25</v>
      </c>
      <c r="AD75" s="71" t="str">
        <f t="shared" si="61"/>
        <v>ผ่าน</v>
      </c>
      <c r="AE75" s="72"/>
      <c r="AF75" s="67">
        <f t="shared" si="62"/>
        <v>30704755.789999999</v>
      </c>
      <c r="AG75" s="72"/>
      <c r="AH75" s="72"/>
      <c r="AI75" s="67">
        <f t="shared" si="63"/>
        <v>0</v>
      </c>
      <c r="AJ75" s="67">
        <f t="shared" si="64"/>
        <v>30704755.789999999</v>
      </c>
      <c r="AK75" s="67">
        <f t="shared" si="65"/>
        <v>30704755.789999999</v>
      </c>
    </row>
    <row r="76" spans="1:37" ht="14.25" customHeight="1" outlineLevel="2">
      <c r="A76" s="2">
        <v>559</v>
      </c>
      <c r="B76" s="3" t="s">
        <v>6</v>
      </c>
      <c r="C76" s="3" t="s">
        <v>138</v>
      </c>
      <c r="D76" s="3" t="s">
        <v>139</v>
      </c>
      <c r="E76" s="3" t="s">
        <v>146</v>
      </c>
      <c r="F76" s="3" t="s">
        <v>147</v>
      </c>
      <c r="G76" s="3">
        <v>90</v>
      </c>
      <c r="H76" s="63">
        <v>1.1499999999999999</v>
      </c>
      <c r="I76" s="64">
        <v>1.2</v>
      </c>
      <c r="J76" s="65">
        <f t="shared" si="66"/>
        <v>1.2</v>
      </c>
      <c r="K76" s="66">
        <v>55513</v>
      </c>
      <c r="L76" s="67">
        <f>VLOOKUP($E76,'[1]2.จัดสรรหลังSK'!$E$4:$Y$98,5,FALSE)</f>
        <v>1189.0749206492173</v>
      </c>
      <c r="M76" s="67">
        <f>VLOOKUP($E76,'[1]2.จัดสรรหลังSK'!$E$4:$Y$98,6,FALSE)</f>
        <v>238.11543566371842</v>
      </c>
      <c r="N76" s="68">
        <v>3467.9058</v>
      </c>
      <c r="O76" s="68">
        <v>60.6571</v>
      </c>
      <c r="P76" s="68">
        <v>0</v>
      </c>
      <c r="Q76" s="63">
        <f t="shared" si="67"/>
        <v>6992.7660449367131</v>
      </c>
      <c r="R76" s="63">
        <f>VLOOKUP($E76,'[1]2.จัดสรรหลังSK'!$E$4:$Y$98,11,FALSE)</f>
        <v>66009116.07</v>
      </c>
      <c r="S76" s="63">
        <f>VLOOKUP($E76,'[1]2.จัดสรรหลังSK'!$E$4:$Y$98,12,FALSE)</f>
        <v>13218502.18</v>
      </c>
      <c r="T76" s="65">
        <f>IF($I$105&lt;&gt;0,ROUND(ROUND(N76*J76,4)*Q76,2),VLOOKUP($E76,'[1]2.จัดสรรหลังSK'!$E$4:$Q$98,13,FALSE))</f>
        <v>29100304.989999998</v>
      </c>
      <c r="U76" s="63">
        <f>VLOOKUP($E76,'[1]2.จัดสรรหลังSK'!$E$4:$Y$98,14,FALSE)</f>
        <v>582308.16</v>
      </c>
      <c r="V76" s="63">
        <f>VLOOKUP($E76,'[1]2.จัดสรรหลังSK'!$E$4:$Y$98,15,FALSE)</f>
        <v>0</v>
      </c>
      <c r="W76" s="67">
        <f t="shared" si="57"/>
        <v>108910231.39999999</v>
      </c>
      <c r="X76" s="67">
        <v>53332333</v>
      </c>
      <c r="Y76" s="63">
        <f t="shared" si="58"/>
        <v>55577898.399999999</v>
      </c>
      <c r="Z76" s="69">
        <v>0</v>
      </c>
      <c r="AA76" s="70">
        <f t="shared" si="59"/>
        <v>55577898.399999999</v>
      </c>
      <c r="AB76" s="67">
        <f>VLOOKUP($E76,'[1]2.จัดสรรหลังSK'!$E$4:$Y$98,21,FALSE)</f>
        <v>49008175.850000001</v>
      </c>
      <c r="AC76" s="67">
        <f t="shared" si="60"/>
        <v>6569722.5499999998</v>
      </c>
      <c r="AD76" s="71" t="str">
        <f t="shared" si="61"/>
        <v>ผ่าน</v>
      </c>
      <c r="AE76" s="72"/>
      <c r="AF76" s="67">
        <f t="shared" si="62"/>
        <v>55577898.399999999</v>
      </c>
      <c r="AG76" s="72"/>
      <c r="AH76" s="72"/>
      <c r="AI76" s="67">
        <f t="shared" si="63"/>
        <v>0</v>
      </c>
      <c r="AJ76" s="67">
        <f t="shared" si="64"/>
        <v>55577898.399999999</v>
      </c>
      <c r="AK76" s="67">
        <f t="shared" si="65"/>
        <v>55577898.399999999</v>
      </c>
    </row>
    <row r="77" spans="1:37" ht="14.25" customHeight="1" outlineLevel="2">
      <c r="A77" s="2">
        <v>560</v>
      </c>
      <c r="B77" s="3" t="s">
        <v>6</v>
      </c>
      <c r="C77" s="3" t="s">
        <v>138</v>
      </c>
      <c r="D77" s="3" t="s">
        <v>139</v>
      </c>
      <c r="E77" s="3" t="s">
        <v>148</v>
      </c>
      <c r="F77" s="3" t="s">
        <v>149</v>
      </c>
      <c r="G77" s="3">
        <v>114</v>
      </c>
      <c r="H77" s="63">
        <v>1.1499999999999999</v>
      </c>
      <c r="I77" s="64">
        <v>1.2</v>
      </c>
      <c r="J77" s="65">
        <f t="shared" si="66"/>
        <v>1.2</v>
      </c>
      <c r="K77" s="66">
        <v>39521</v>
      </c>
      <c r="L77" s="67">
        <f>VLOOKUP($E77,'[1]2.จัดสรรหลังSK'!$E$4:$Y$98,5,FALSE)</f>
        <v>1302.0256587636952</v>
      </c>
      <c r="M77" s="67">
        <f>VLOOKUP($E77,'[1]2.จัดสรรหลังSK'!$E$4:$Y$98,6,FALSE)</f>
        <v>260.73412337744486</v>
      </c>
      <c r="N77" s="68">
        <v>3996.7566000000002</v>
      </c>
      <c r="O77" s="68">
        <v>116.1169</v>
      </c>
      <c r="P77" s="68">
        <v>0</v>
      </c>
      <c r="Q77" s="63">
        <f t="shared" si="67"/>
        <v>6992.7660449367131</v>
      </c>
      <c r="R77" s="63">
        <f>VLOOKUP($E77,'[1]2.จัดสรรหลังSK'!$E$4:$Y$98,11,FALSE)</f>
        <v>51457356.060000002</v>
      </c>
      <c r="S77" s="63">
        <f>VLOOKUP($E77,'[1]2.จัดสรรหลังSK'!$E$4:$Y$98,12,FALSE)</f>
        <v>10304473.289999999</v>
      </c>
      <c r="T77" s="65">
        <f>IF($I$105&lt;&gt;0,ROUND(ROUND(N77*J77,4)*Q77,2),VLOOKUP($E77,'[1]2.จัดสรรหลังSK'!$E$4:$Q$98,13,FALSE))</f>
        <v>33538060.469999999</v>
      </c>
      <c r="U77" s="63">
        <f>VLOOKUP($E77,'[1]2.จัดสรรหลังSK'!$E$4:$Y$98,14,FALSE)</f>
        <v>1114722.24</v>
      </c>
      <c r="V77" s="63">
        <f>VLOOKUP($E77,'[1]2.จัดสรรหลังSK'!$E$4:$Y$98,15,FALSE)</f>
        <v>0</v>
      </c>
      <c r="W77" s="67">
        <f t="shared" si="57"/>
        <v>96414612.059999987</v>
      </c>
      <c r="X77" s="67">
        <v>49432336</v>
      </c>
      <c r="Y77" s="63">
        <f t="shared" si="58"/>
        <v>46982276.060000002</v>
      </c>
      <c r="Z77" s="69">
        <v>0</v>
      </c>
      <c r="AA77" s="70">
        <f t="shared" si="59"/>
        <v>46982276.060000002</v>
      </c>
      <c r="AB77" s="67">
        <f>VLOOKUP($E77,'[1]2.จัดสรรหลังSK'!$E$4:$Y$98,21,FALSE)</f>
        <v>39807852.299999997</v>
      </c>
      <c r="AC77" s="67">
        <f t="shared" si="60"/>
        <v>7174423.7599999998</v>
      </c>
      <c r="AD77" s="71" t="str">
        <f t="shared" si="61"/>
        <v>ผ่าน</v>
      </c>
      <c r="AE77" s="72"/>
      <c r="AF77" s="67">
        <f t="shared" si="62"/>
        <v>46982276.060000002</v>
      </c>
      <c r="AG77" s="72"/>
      <c r="AH77" s="72"/>
      <c r="AI77" s="67">
        <f t="shared" si="63"/>
        <v>0</v>
      </c>
      <c r="AJ77" s="67">
        <f t="shared" si="64"/>
        <v>46982276.060000002</v>
      </c>
      <c r="AK77" s="67">
        <f t="shared" si="65"/>
        <v>46982276.060000002</v>
      </c>
    </row>
    <row r="78" spans="1:37" ht="14.25" customHeight="1" outlineLevel="2">
      <c r="A78" s="2">
        <v>561</v>
      </c>
      <c r="B78" s="3" t="s">
        <v>6</v>
      </c>
      <c r="C78" s="3" t="s">
        <v>138</v>
      </c>
      <c r="D78" s="3" t="s">
        <v>139</v>
      </c>
      <c r="E78" s="3" t="s">
        <v>150</v>
      </c>
      <c r="F78" s="3" t="s">
        <v>151</v>
      </c>
      <c r="G78" s="3">
        <v>38</v>
      </c>
      <c r="H78" s="63">
        <v>1.25</v>
      </c>
      <c r="I78" s="64"/>
      <c r="J78" s="65">
        <f t="shared" si="66"/>
        <v>1.25</v>
      </c>
      <c r="K78" s="66">
        <v>37339</v>
      </c>
      <c r="L78" s="67">
        <f>VLOOKUP($E78,'[1]2.จัดสรรหลังSK'!$E$4:$Y$98,5,FALSE)</f>
        <v>1318.3952133158359</v>
      </c>
      <c r="M78" s="67">
        <f>VLOOKUP($E78,'[1]2.จัดสรรหลังSK'!$E$4:$Y$98,6,FALSE)</f>
        <v>264.01217065266877</v>
      </c>
      <c r="N78" s="68">
        <v>1312.8268</v>
      </c>
      <c r="O78" s="68">
        <v>20.333600000000001</v>
      </c>
      <c r="P78" s="68">
        <v>0</v>
      </c>
      <c r="Q78" s="63">
        <f t="shared" si="67"/>
        <v>6992.7660449367131</v>
      </c>
      <c r="R78" s="63">
        <f>VLOOKUP($E78,'[1]2.จัดสรรหลังSK'!$E$4:$Y$98,11,FALSE)</f>
        <v>49227558.869999997</v>
      </c>
      <c r="S78" s="63">
        <f>VLOOKUP($E78,'[1]2.จัดสรรหลังSK'!$E$4:$Y$98,12,FALSE)</f>
        <v>9857950.4399999995</v>
      </c>
      <c r="T78" s="65">
        <f>IF($I$105&lt;&gt;0,ROUND(ROUND(N78*J78,4)*Q78,2),VLOOKUP($E78,'[1]2.จัดสรรหลังSK'!$E$4:$Q$98,13,FALSE))</f>
        <v>11475363.34</v>
      </c>
      <c r="U78" s="63">
        <f>VLOOKUP($E78,'[1]2.จัดสรรหลังSK'!$E$4:$Y$98,14,FALSE)</f>
        <v>195202.56</v>
      </c>
      <c r="V78" s="63">
        <f>VLOOKUP($E78,'[1]2.จัดสรรหลังSK'!$E$4:$Y$98,15,FALSE)</f>
        <v>0</v>
      </c>
      <c r="W78" s="67">
        <f t="shared" si="57"/>
        <v>70756075.209999993</v>
      </c>
      <c r="X78" s="67">
        <v>29896276</v>
      </c>
      <c r="Y78" s="63">
        <f t="shared" si="58"/>
        <v>40859799.210000001</v>
      </c>
      <c r="Z78" s="69">
        <v>0</v>
      </c>
      <c r="AA78" s="70">
        <f t="shared" si="59"/>
        <v>40859799.210000001</v>
      </c>
      <c r="AB78" s="67">
        <f>VLOOKUP($E78,'[1]2.จัดสรรหลังSK'!$E$4:$Y$98,21,FALSE)</f>
        <v>36254253.359999999</v>
      </c>
      <c r="AC78" s="67">
        <f t="shared" si="60"/>
        <v>4605545.8499999996</v>
      </c>
      <c r="AD78" s="71" t="str">
        <f t="shared" si="61"/>
        <v>ผ่าน</v>
      </c>
      <c r="AE78" s="72"/>
      <c r="AF78" s="67">
        <f t="shared" si="62"/>
        <v>40859799.210000001</v>
      </c>
      <c r="AG78" s="72"/>
      <c r="AH78" s="72"/>
      <c r="AI78" s="67">
        <f t="shared" si="63"/>
        <v>0</v>
      </c>
      <c r="AJ78" s="67">
        <f t="shared" si="64"/>
        <v>40859799.210000001</v>
      </c>
      <c r="AK78" s="67">
        <f t="shared" si="65"/>
        <v>40859799.210000001</v>
      </c>
    </row>
    <row r="79" spans="1:37" ht="14.25" customHeight="1" outlineLevel="2">
      <c r="A79" s="2">
        <v>562</v>
      </c>
      <c r="B79" s="3" t="s">
        <v>6</v>
      </c>
      <c r="C79" s="3" t="s">
        <v>138</v>
      </c>
      <c r="D79" s="3" t="s">
        <v>139</v>
      </c>
      <c r="E79" s="3" t="s">
        <v>152</v>
      </c>
      <c r="F79" s="3" t="s">
        <v>153</v>
      </c>
      <c r="G79" s="3">
        <v>15</v>
      </c>
      <c r="H79" s="63">
        <v>1.35</v>
      </c>
      <c r="I79" s="64"/>
      <c r="J79" s="65">
        <f t="shared" si="66"/>
        <v>1.35</v>
      </c>
      <c r="K79" s="66">
        <v>10627</v>
      </c>
      <c r="L79" s="67">
        <f>VLOOKUP($E79,'[1]2.จัดสรรหลังSK'!$E$4:$Y$98,5,FALSE)</f>
        <v>1602.9433273736706</v>
      </c>
      <c r="M79" s="67">
        <f>VLOOKUP($E79,'[1]2.จัดสรรหลังSK'!$E$4:$Y$98,6,FALSE)</f>
        <v>320.99369154041591</v>
      </c>
      <c r="N79" s="68">
        <v>416.00130000000001</v>
      </c>
      <c r="O79" s="68">
        <v>6.5098000000000003</v>
      </c>
      <c r="P79" s="68">
        <v>0</v>
      </c>
      <c r="Q79" s="63">
        <f t="shared" si="67"/>
        <v>6992.7660449367131</v>
      </c>
      <c r="R79" s="63">
        <f>VLOOKUP($E79,'[1]2.จัดสรรหลังSK'!$E$4:$Y$98,11,FALSE)</f>
        <v>17034478.739999998</v>
      </c>
      <c r="S79" s="63">
        <f>VLOOKUP($E79,'[1]2.จัดสรรหลังSK'!$E$4:$Y$98,12,FALSE)</f>
        <v>3411199.96</v>
      </c>
      <c r="T79" s="65">
        <f>IF($I$105&lt;&gt;0,ROUND(ROUND(N79*J79,4)*Q79,2),VLOOKUP($E79,'[1]2.จัดสรรหลังSK'!$E$4:$Q$98,13,FALSE))</f>
        <v>3927150</v>
      </c>
      <c r="U79" s="63">
        <f>VLOOKUP($E79,'[1]2.จัดสรรหลังSK'!$E$4:$Y$98,14,FALSE)</f>
        <v>62494.080000000002</v>
      </c>
      <c r="V79" s="63">
        <f>VLOOKUP($E79,'[1]2.จัดสรรหลังSK'!$E$4:$Y$98,15,FALSE)</f>
        <v>0</v>
      </c>
      <c r="W79" s="67">
        <f t="shared" si="57"/>
        <v>24435322.779999997</v>
      </c>
      <c r="X79" s="67">
        <v>15240143</v>
      </c>
      <c r="Y79" s="63">
        <f t="shared" si="58"/>
        <v>9195179.7799999993</v>
      </c>
      <c r="Z79" s="69">
        <v>4555016.3</v>
      </c>
      <c r="AA79" s="70">
        <f t="shared" si="59"/>
        <v>13750196.08</v>
      </c>
      <c r="AB79" s="67">
        <f>VLOOKUP($E79,'[1]2.จัดสรรหลังSK'!$E$4:$Y$98,21,FALSE)</f>
        <v>13778056.65</v>
      </c>
      <c r="AC79" s="67">
        <f t="shared" si="60"/>
        <v>-27860.57</v>
      </c>
      <c r="AD79" s="71" t="str">
        <f t="shared" si="61"/>
        <v>ไม่ผ่าน</v>
      </c>
      <c r="AE79" s="72"/>
      <c r="AF79" s="67">
        <f t="shared" si="62"/>
        <v>13750196.08</v>
      </c>
      <c r="AG79" s="72"/>
      <c r="AH79" s="72"/>
      <c r="AI79" s="67">
        <f t="shared" si="63"/>
        <v>0</v>
      </c>
      <c r="AJ79" s="67">
        <f t="shared" si="64"/>
        <v>13750196.08</v>
      </c>
      <c r="AK79" s="67">
        <f t="shared" si="65"/>
        <v>13750196.08</v>
      </c>
    </row>
    <row r="80" spans="1:37" ht="14.25" customHeight="1" outlineLevel="2">
      <c r="A80" s="2">
        <v>563</v>
      </c>
      <c r="B80" s="3" t="s">
        <v>6</v>
      </c>
      <c r="C80" s="3" t="s">
        <v>138</v>
      </c>
      <c r="D80" s="3" t="s">
        <v>139</v>
      </c>
      <c r="E80" s="3" t="s">
        <v>154</v>
      </c>
      <c r="F80" s="3" t="s">
        <v>155</v>
      </c>
      <c r="G80" s="3">
        <v>245</v>
      </c>
      <c r="H80" s="63">
        <v>1.1499999999999999</v>
      </c>
      <c r="I80" s="64"/>
      <c r="J80" s="65">
        <f t="shared" si="66"/>
        <v>1.1499999999999999</v>
      </c>
      <c r="K80" s="66">
        <v>92525</v>
      </c>
      <c r="L80" s="67">
        <f>VLOOKUP($E80,'[1]2.จัดสรรหลังSK'!$E$4:$Y$98,5,FALSE)</f>
        <v>1037.9429557416915</v>
      </c>
      <c r="M80" s="67">
        <f>VLOOKUP($E80,'[1]2.จัดสรรหลังSK'!$E$4:$Y$98,6,FALSE)</f>
        <v>207.85085512023778</v>
      </c>
      <c r="N80" s="68">
        <v>10181.222100000001</v>
      </c>
      <c r="O80" s="68">
        <v>190.64879999999999</v>
      </c>
      <c r="P80" s="68">
        <v>236.4572</v>
      </c>
      <c r="Q80" s="63">
        <f t="shared" si="67"/>
        <v>6992.7660449367131</v>
      </c>
      <c r="R80" s="63">
        <f>VLOOKUP($E80,'[1]2.จัดสรรหลังSK'!$E$4:$Y$98,11,FALSE)</f>
        <v>96035671.980000004</v>
      </c>
      <c r="S80" s="63">
        <f>VLOOKUP($E80,'[1]2.จัดสรรหลังSK'!$E$4:$Y$98,12,FALSE)</f>
        <v>19231400.370000001</v>
      </c>
      <c r="T80" s="65">
        <f>IF($I$105&lt;&gt;0,ROUND(ROUND(N80*J80,4)*Q80,2),VLOOKUP($E80,'[1]2.จัดสรรหลังSK'!$E$4:$Q$98,13,FALSE))</f>
        <v>81874139.719999999</v>
      </c>
      <c r="U80" s="63">
        <f>VLOOKUP($E80,'[1]2.จัดสรรหลังSK'!$E$4:$Y$98,14,FALSE)</f>
        <v>1830228.48</v>
      </c>
      <c r="V80" s="63">
        <f>VLOOKUP($E80,'[1]2.จัดสรรหลังSK'!$E$4:$Y$98,15,FALSE)</f>
        <v>2128114.7999999998</v>
      </c>
      <c r="W80" s="67">
        <f t="shared" si="57"/>
        <v>201099555.34999999</v>
      </c>
      <c r="X80" s="67">
        <v>74830627</v>
      </c>
      <c r="Y80" s="63">
        <f t="shared" si="58"/>
        <v>126268928.34999999</v>
      </c>
      <c r="Z80" s="69">
        <v>0</v>
      </c>
      <c r="AA80" s="70">
        <f t="shared" si="59"/>
        <v>126268928.34999999</v>
      </c>
      <c r="AB80" s="67">
        <f>VLOOKUP($E80,'[1]2.จัดสรรหลังSK'!$E$4:$Y$98,21,FALSE)</f>
        <v>117148240.28</v>
      </c>
      <c r="AC80" s="67">
        <f t="shared" si="60"/>
        <v>9120688.0700000003</v>
      </c>
      <c r="AD80" s="71" t="str">
        <f t="shared" si="61"/>
        <v>ผ่าน</v>
      </c>
      <c r="AE80" s="72"/>
      <c r="AF80" s="67">
        <f t="shared" si="62"/>
        <v>126268928.34999999</v>
      </c>
      <c r="AG80" s="72"/>
      <c r="AH80" s="72"/>
      <c r="AI80" s="67">
        <f t="shared" si="63"/>
        <v>0</v>
      </c>
      <c r="AJ80" s="67">
        <f t="shared" si="64"/>
        <v>126268928.34999999</v>
      </c>
      <c r="AK80" s="67">
        <f t="shared" si="65"/>
        <v>126268928.34999999</v>
      </c>
    </row>
    <row r="81" spans="1:37" ht="14.25" customHeight="1" outlineLevel="2">
      <c r="A81" s="2">
        <v>564</v>
      </c>
      <c r="B81" s="3" t="s">
        <v>6</v>
      </c>
      <c r="C81" s="3" t="s">
        <v>138</v>
      </c>
      <c r="D81" s="3" t="s">
        <v>139</v>
      </c>
      <c r="E81" s="3" t="s">
        <v>156</v>
      </c>
      <c r="F81" s="3" t="s">
        <v>157</v>
      </c>
      <c r="G81" s="3">
        <v>38</v>
      </c>
      <c r="H81" s="63">
        <v>1.25</v>
      </c>
      <c r="I81" s="64"/>
      <c r="J81" s="65">
        <f t="shared" si="66"/>
        <v>1.25</v>
      </c>
      <c r="K81" s="66">
        <v>30686</v>
      </c>
      <c r="L81" s="67">
        <f>VLOOKUP($E81,'[1]2.จัดสรรหลังSK'!$E$4:$Y$98,5,FALSE)</f>
        <v>1382.6769031480155</v>
      </c>
      <c r="M81" s="67">
        <f>VLOOKUP($E81,'[1]2.จัดสรรหลังSK'!$E$4:$Y$98,6,FALSE)</f>
        <v>276.88475070064527</v>
      </c>
      <c r="N81" s="68">
        <v>1576.0279</v>
      </c>
      <c r="O81" s="68">
        <v>31.1203</v>
      </c>
      <c r="P81" s="68">
        <v>0</v>
      </c>
      <c r="Q81" s="63">
        <f t="shared" si="67"/>
        <v>6992.7660449367131</v>
      </c>
      <c r="R81" s="63">
        <f>VLOOKUP($E81,'[1]2.จัดสรรหลังSK'!$E$4:$Y$98,11,FALSE)</f>
        <v>42428823.450000003</v>
      </c>
      <c r="S81" s="63">
        <f>VLOOKUP($E81,'[1]2.จัดสรรหลังSK'!$E$4:$Y$98,12,FALSE)</f>
        <v>8496485.4600000009</v>
      </c>
      <c r="T81" s="65">
        <f>IF($I$105&lt;&gt;0,ROUND(ROUND(N81*J81,4)*Q81,2),VLOOKUP($E81,'[1]2.จัดสรรหลังSK'!$E$4:$Q$98,13,FALSE))</f>
        <v>13775993.16</v>
      </c>
      <c r="U81" s="63">
        <f>VLOOKUP($E81,'[1]2.จัดสรรหลังSK'!$E$4:$Y$98,14,FALSE)</f>
        <v>298754.88</v>
      </c>
      <c r="V81" s="63">
        <f>VLOOKUP($E81,'[1]2.จัดสรรหลังSK'!$E$4:$Y$98,15,FALSE)</f>
        <v>0</v>
      </c>
      <c r="W81" s="67">
        <f t="shared" si="57"/>
        <v>65000056.95000001</v>
      </c>
      <c r="X81" s="67">
        <v>26599910</v>
      </c>
      <c r="Y81" s="63">
        <f t="shared" si="58"/>
        <v>38400146.950000003</v>
      </c>
      <c r="Z81" s="69">
        <v>0</v>
      </c>
      <c r="AA81" s="70">
        <f t="shared" si="59"/>
        <v>38400146.950000003</v>
      </c>
      <c r="AB81" s="67">
        <f>VLOOKUP($E81,'[1]2.จัดสรรหลังSK'!$E$4:$Y$98,21,FALSE)</f>
        <v>35425794.219999999</v>
      </c>
      <c r="AC81" s="67">
        <f t="shared" si="60"/>
        <v>2974352.73</v>
      </c>
      <c r="AD81" s="71" t="str">
        <f t="shared" si="61"/>
        <v>ผ่าน</v>
      </c>
      <c r="AE81" s="72"/>
      <c r="AF81" s="67">
        <f t="shared" si="62"/>
        <v>38400146.950000003</v>
      </c>
      <c r="AG81" s="72"/>
      <c r="AH81" s="72"/>
      <c r="AI81" s="67">
        <f t="shared" si="63"/>
        <v>0</v>
      </c>
      <c r="AJ81" s="67">
        <f t="shared" si="64"/>
        <v>38400146.950000003</v>
      </c>
      <c r="AK81" s="67">
        <f t="shared" si="65"/>
        <v>38400146.950000003</v>
      </c>
    </row>
    <row r="82" spans="1:37" ht="14.25" customHeight="1" outlineLevel="2">
      <c r="A82" s="2">
        <v>565</v>
      </c>
      <c r="B82" s="3" t="s">
        <v>6</v>
      </c>
      <c r="C82" s="3" t="s">
        <v>138</v>
      </c>
      <c r="D82" s="3" t="s">
        <v>139</v>
      </c>
      <c r="E82" s="3" t="s">
        <v>158</v>
      </c>
      <c r="F82" s="3" t="s">
        <v>159</v>
      </c>
      <c r="G82" s="3">
        <v>78</v>
      </c>
      <c r="H82" s="63">
        <v>1.1499999999999999</v>
      </c>
      <c r="I82" s="64">
        <v>1.2</v>
      </c>
      <c r="J82" s="65">
        <f t="shared" si="66"/>
        <v>1.2</v>
      </c>
      <c r="K82" s="66">
        <v>53059</v>
      </c>
      <c r="L82" s="67">
        <f>VLOOKUP($E82,'[1]2.จัดสรรหลังSK'!$E$4:$Y$98,5,FALSE)</f>
        <v>1204.6838406302418</v>
      </c>
      <c r="M82" s="67">
        <f>VLOOKUP($E82,'[1]2.จัดสรรหลังSK'!$E$4:$Y$98,6,FALSE)</f>
        <v>241.2411636103206</v>
      </c>
      <c r="N82" s="68">
        <v>2978.4609</v>
      </c>
      <c r="O82" s="68">
        <v>78.653800000000004</v>
      </c>
      <c r="P82" s="68">
        <v>0</v>
      </c>
      <c r="Q82" s="63">
        <f t="shared" si="67"/>
        <v>6992.7660449367131</v>
      </c>
      <c r="R82" s="63">
        <f>VLOOKUP($E82,'[1]2.จัดสรรหลังSK'!$E$4:$Y$98,11,FALSE)</f>
        <v>63919319.899999999</v>
      </c>
      <c r="S82" s="63">
        <f>VLOOKUP($E82,'[1]2.จัดสรรหลังSK'!$E$4:$Y$98,12,FALSE)</f>
        <v>12800014.9</v>
      </c>
      <c r="T82" s="65">
        <f>IF($I$105&lt;&gt;0,ROUND(ROUND(N82*J82,4)*Q82,2),VLOOKUP($E82,'[1]2.จัดสรรหลังSK'!$E$4:$Q$98,13,FALSE))</f>
        <v>24993216.440000001</v>
      </c>
      <c r="U82" s="63">
        <f>VLOOKUP($E82,'[1]2.จัดสรรหลังSK'!$E$4:$Y$98,14,FALSE)</f>
        <v>755076.48</v>
      </c>
      <c r="V82" s="63">
        <f>VLOOKUP($E82,'[1]2.จัดสรรหลังSK'!$E$4:$Y$98,15,FALSE)</f>
        <v>0</v>
      </c>
      <c r="W82" s="67">
        <f t="shared" si="57"/>
        <v>102467627.72</v>
      </c>
      <c r="X82" s="67">
        <v>41768850</v>
      </c>
      <c r="Y82" s="63">
        <f t="shared" si="58"/>
        <v>60698777.719999999</v>
      </c>
      <c r="Z82" s="69">
        <v>436446.13</v>
      </c>
      <c r="AA82" s="70">
        <f t="shared" si="59"/>
        <v>61135223.850000001</v>
      </c>
      <c r="AB82" s="67">
        <f>VLOOKUP($E82,'[1]2.จัดสรรหลังSK'!$E$4:$Y$98,21,FALSE)</f>
        <v>60263762.119999997</v>
      </c>
      <c r="AC82" s="67">
        <f t="shared" si="60"/>
        <v>871461.73</v>
      </c>
      <c r="AD82" s="71" t="str">
        <f t="shared" si="61"/>
        <v>ผ่าน</v>
      </c>
      <c r="AE82" s="72"/>
      <c r="AF82" s="67">
        <f t="shared" si="62"/>
        <v>61135223.850000001</v>
      </c>
      <c r="AG82" s="72"/>
      <c r="AH82" s="72"/>
      <c r="AI82" s="67">
        <f t="shared" si="63"/>
        <v>0</v>
      </c>
      <c r="AJ82" s="67">
        <f t="shared" si="64"/>
        <v>61135223.850000001</v>
      </c>
      <c r="AK82" s="67">
        <f t="shared" si="65"/>
        <v>61135223.850000001</v>
      </c>
    </row>
    <row r="83" spans="1:37" ht="14.25" customHeight="1" outlineLevel="2">
      <c r="A83" s="2">
        <v>566</v>
      </c>
      <c r="B83" s="3" t="s">
        <v>6</v>
      </c>
      <c r="C83" s="3" t="s">
        <v>138</v>
      </c>
      <c r="D83" s="3" t="s">
        <v>139</v>
      </c>
      <c r="E83" s="3" t="s">
        <v>160</v>
      </c>
      <c r="F83" s="3" t="s">
        <v>161</v>
      </c>
      <c r="G83" s="3">
        <v>130</v>
      </c>
      <c r="H83" s="63">
        <v>1.1499999999999999</v>
      </c>
      <c r="I83" s="64">
        <v>1.2</v>
      </c>
      <c r="J83" s="65">
        <f t="shared" si="66"/>
        <v>1.2</v>
      </c>
      <c r="K83" s="66">
        <v>53459</v>
      </c>
      <c r="L83" s="67">
        <f>VLOOKUP($E83,'[1]2.จัดสรรหลังSK'!$E$4:$Y$98,5,FALSE)</f>
        <v>1202.0418445911821</v>
      </c>
      <c r="M83" s="67">
        <f>VLOOKUP($E83,'[1]2.จัดสรรหลังSK'!$E$4:$Y$98,6,FALSE)</f>
        <v>240.71209693409904</v>
      </c>
      <c r="N83" s="68">
        <v>4128.3132999999998</v>
      </c>
      <c r="O83" s="68">
        <v>50.147500000000001</v>
      </c>
      <c r="P83" s="68">
        <v>0</v>
      </c>
      <c r="Q83" s="63">
        <f t="shared" si="67"/>
        <v>6992.7660449367131</v>
      </c>
      <c r="R83" s="63">
        <f>VLOOKUP($E83,'[1]2.จัดสรรหลังSK'!$E$4:$Y$98,11,FALSE)</f>
        <v>64259954.969999999</v>
      </c>
      <c r="S83" s="63">
        <f>VLOOKUP($E83,'[1]2.จัดสรรหลังSK'!$E$4:$Y$98,12,FALSE)</f>
        <v>12868227.99</v>
      </c>
      <c r="T83" s="65">
        <f>IF($I$105&lt;&gt;0,ROUND(ROUND(N83*J83,4)*Q83,2),VLOOKUP($E83,'[1]2.จัดสรรหลังSK'!$E$4:$Q$98,13,FALSE))</f>
        <v>34641995.159999996</v>
      </c>
      <c r="U83" s="63">
        <f>VLOOKUP($E83,'[1]2.จัดสรรหลังSK'!$E$4:$Y$98,14,FALSE)</f>
        <v>481416</v>
      </c>
      <c r="V83" s="63">
        <f>VLOOKUP($E83,'[1]2.จัดสรรหลังSK'!$E$4:$Y$98,15,FALSE)</f>
        <v>0</v>
      </c>
      <c r="W83" s="67">
        <f t="shared" si="57"/>
        <v>112251594.11999999</v>
      </c>
      <c r="X83" s="67">
        <v>51639122</v>
      </c>
      <c r="Y83" s="63">
        <f t="shared" si="58"/>
        <v>60612472.119999997</v>
      </c>
      <c r="Z83" s="69">
        <v>0</v>
      </c>
      <c r="AA83" s="70">
        <f t="shared" si="59"/>
        <v>60612472.119999997</v>
      </c>
      <c r="AB83" s="67">
        <f>VLOOKUP($E83,'[1]2.จัดสรรหลังSK'!$E$4:$Y$98,21,FALSE)</f>
        <v>56581134.960000001</v>
      </c>
      <c r="AC83" s="67">
        <f t="shared" si="60"/>
        <v>4031337.16</v>
      </c>
      <c r="AD83" s="71" t="str">
        <f t="shared" si="61"/>
        <v>ผ่าน</v>
      </c>
      <c r="AE83" s="72"/>
      <c r="AF83" s="67">
        <f t="shared" si="62"/>
        <v>60612472.119999997</v>
      </c>
      <c r="AG83" s="72"/>
      <c r="AH83" s="72"/>
      <c r="AI83" s="67">
        <f t="shared" si="63"/>
        <v>0</v>
      </c>
      <c r="AJ83" s="67">
        <f t="shared" si="64"/>
        <v>60612472.119999997</v>
      </c>
      <c r="AK83" s="67">
        <f t="shared" si="65"/>
        <v>60612472.119999997</v>
      </c>
    </row>
    <row r="84" spans="1:37" ht="14.25" customHeight="1" outlineLevel="2">
      <c r="A84" s="2">
        <v>567</v>
      </c>
      <c r="B84" s="3" t="s">
        <v>6</v>
      </c>
      <c r="C84" s="3" t="s">
        <v>138</v>
      </c>
      <c r="D84" s="3" t="s">
        <v>139</v>
      </c>
      <c r="E84" s="3" t="s">
        <v>162</v>
      </c>
      <c r="F84" s="3" t="s">
        <v>163</v>
      </c>
      <c r="G84" s="3">
        <v>45</v>
      </c>
      <c r="H84" s="63">
        <v>1.3</v>
      </c>
      <c r="I84" s="64"/>
      <c r="J84" s="65">
        <f t="shared" si="66"/>
        <v>1.3</v>
      </c>
      <c r="K84" s="66">
        <v>26548</v>
      </c>
      <c r="L84" s="67">
        <f>VLOOKUP($E84,'[1]2.จัดสรรหลังSK'!$E$4:$Y$98,5,FALSE)</f>
        <v>1416.7637302244989</v>
      </c>
      <c r="M84" s="67">
        <f>VLOOKUP($E84,'[1]2.จัดสรรหลังSK'!$E$4:$Y$98,6,FALSE)</f>
        <v>283.7107292451409</v>
      </c>
      <c r="N84" s="68">
        <v>1494.0741</v>
      </c>
      <c r="O84" s="68">
        <v>23.474</v>
      </c>
      <c r="P84" s="68">
        <v>0</v>
      </c>
      <c r="Q84" s="63">
        <f t="shared" si="67"/>
        <v>6992.7660449367131</v>
      </c>
      <c r="R84" s="63">
        <f>VLOOKUP($E84,'[1]2.จัดสรรหลังSK'!$E$4:$Y$98,11,FALSE)</f>
        <v>37612243.509999998</v>
      </c>
      <c r="S84" s="63">
        <f>VLOOKUP($E84,'[1]2.จัดสรรหลังSK'!$E$4:$Y$98,12,FALSE)</f>
        <v>7531952.4400000004</v>
      </c>
      <c r="T84" s="65">
        <f>IF($I$105&lt;&gt;0,ROUND(ROUND(N84*J84,4)*Q84,2),VLOOKUP($E84,'[1]2.จัดสรรหลังSK'!$E$4:$Q$98,13,FALSE))</f>
        <v>13582023.619999999</v>
      </c>
      <c r="U84" s="63">
        <f>VLOOKUP($E84,'[1]2.จัดสรรหลังSK'!$E$4:$Y$98,14,FALSE)</f>
        <v>225350.39999999999</v>
      </c>
      <c r="V84" s="63">
        <f>VLOOKUP($E84,'[1]2.จัดสรรหลังSK'!$E$4:$Y$98,15,FALSE)</f>
        <v>0</v>
      </c>
      <c r="W84" s="67">
        <f t="shared" si="57"/>
        <v>58951569.969999991</v>
      </c>
      <c r="X84" s="67">
        <v>22407772</v>
      </c>
      <c r="Y84" s="63">
        <f t="shared" si="58"/>
        <v>36543797.969999999</v>
      </c>
      <c r="Z84" s="69">
        <v>0</v>
      </c>
      <c r="AA84" s="70">
        <f t="shared" si="59"/>
        <v>36543797.969999999</v>
      </c>
      <c r="AB84" s="67">
        <f>VLOOKUP($E84,'[1]2.จัดสรรหลังSK'!$E$4:$Y$98,21,FALSE)</f>
        <v>33098678.140000001</v>
      </c>
      <c r="AC84" s="67">
        <f t="shared" si="60"/>
        <v>3445119.83</v>
      </c>
      <c r="AD84" s="71" t="str">
        <f t="shared" si="61"/>
        <v>ผ่าน</v>
      </c>
      <c r="AE84" s="72"/>
      <c r="AF84" s="67">
        <f t="shared" si="62"/>
        <v>36543797.969999999</v>
      </c>
      <c r="AG84" s="72"/>
      <c r="AH84" s="72"/>
      <c r="AI84" s="67">
        <f t="shared" si="63"/>
        <v>0</v>
      </c>
      <c r="AJ84" s="67">
        <f t="shared" si="64"/>
        <v>36543797.969999999</v>
      </c>
      <c r="AK84" s="67">
        <f t="shared" si="65"/>
        <v>36543797.969999999</v>
      </c>
    </row>
    <row r="85" spans="1:37" ht="14.25" customHeight="1" outlineLevel="2">
      <c r="A85" s="2">
        <v>568</v>
      </c>
      <c r="B85" s="3" t="s">
        <v>6</v>
      </c>
      <c r="C85" s="3" t="s">
        <v>138</v>
      </c>
      <c r="D85" s="3" t="s">
        <v>139</v>
      </c>
      <c r="E85" s="3" t="s">
        <v>164</v>
      </c>
      <c r="F85" s="3" t="s">
        <v>165</v>
      </c>
      <c r="G85" s="3">
        <v>38</v>
      </c>
      <c r="H85" s="63">
        <v>1.35</v>
      </c>
      <c r="I85" s="64"/>
      <c r="J85" s="65">
        <f t="shared" si="66"/>
        <v>1.35</v>
      </c>
      <c r="K85" s="66">
        <v>17941</v>
      </c>
      <c r="L85" s="67">
        <f>VLOOKUP($E85,'[1]2.จัดสรรหลังSK'!$E$4:$Y$98,5,FALSE)</f>
        <v>1504.9383222785798</v>
      </c>
      <c r="M85" s="67">
        <f>VLOOKUP($E85,'[1]2.จัดสรรหลังSK'!$E$4:$Y$98,6,FALSE)</f>
        <v>301.36792765174738</v>
      </c>
      <c r="N85" s="68">
        <v>1129.8635999999999</v>
      </c>
      <c r="O85" s="68">
        <v>58.882899999999999</v>
      </c>
      <c r="P85" s="68">
        <v>0</v>
      </c>
      <c r="Q85" s="63">
        <f t="shared" si="67"/>
        <v>6992.7660449367131</v>
      </c>
      <c r="R85" s="63">
        <f>VLOOKUP($E85,'[1]2.จัดสรรหลังSK'!$E$4:$Y$98,11,FALSE)</f>
        <v>27000098.440000001</v>
      </c>
      <c r="S85" s="63">
        <f>VLOOKUP($E85,'[1]2.จัดสรรหลังSK'!$E$4:$Y$98,12,FALSE)</f>
        <v>5406841.9900000002</v>
      </c>
      <c r="T85" s="65">
        <f>IF($I$105&lt;&gt;0,ROUND(ROUND(N85*J85,4)*Q85,2),VLOOKUP($E85,'[1]2.จัดสรรหลังSK'!$E$4:$Q$98,13,FALSE))</f>
        <v>10666177.23</v>
      </c>
      <c r="U85" s="63">
        <f>VLOOKUP($E85,'[1]2.จัดสรรหลังSK'!$E$4:$Y$98,14,FALSE)</f>
        <v>565275.84</v>
      </c>
      <c r="V85" s="63">
        <f>VLOOKUP($E85,'[1]2.จัดสรรหลังSK'!$E$4:$Y$98,15,FALSE)</f>
        <v>0</v>
      </c>
      <c r="W85" s="67">
        <f t="shared" si="57"/>
        <v>43638393.5</v>
      </c>
      <c r="X85" s="67">
        <v>21559567</v>
      </c>
      <c r="Y85" s="63">
        <f t="shared" si="58"/>
        <v>22078826.5</v>
      </c>
      <c r="Z85" s="69">
        <v>0</v>
      </c>
      <c r="AA85" s="70">
        <f t="shared" si="59"/>
        <v>22078826.5</v>
      </c>
      <c r="AB85" s="67">
        <f>VLOOKUP($E85,'[1]2.จัดสรรหลังSK'!$E$4:$Y$98,21,FALSE)</f>
        <v>20859686.780000001</v>
      </c>
      <c r="AC85" s="67">
        <f t="shared" si="60"/>
        <v>1219139.72</v>
      </c>
      <c r="AD85" s="71" t="str">
        <f t="shared" si="61"/>
        <v>ผ่าน</v>
      </c>
      <c r="AE85" s="72"/>
      <c r="AF85" s="67">
        <f t="shared" si="62"/>
        <v>22078826.5</v>
      </c>
      <c r="AG85" s="72"/>
      <c r="AH85" s="72"/>
      <c r="AI85" s="67">
        <f t="shared" si="63"/>
        <v>0</v>
      </c>
      <c r="AJ85" s="67">
        <f t="shared" si="64"/>
        <v>22078826.5</v>
      </c>
      <c r="AK85" s="67">
        <f t="shared" si="65"/>
        <v>22078826.5</v>
      </c>
    </row>
    <row r="86" spans="1:37" ht="14.25" customHeight="1" outlineLevel="2">
      <c r="A86" s="2">
        <v>569</v>
      </c>
      <c r="B86" s="3" t="s">
        <v>6</v>
      </c>
      <c r="C86" s="3" t="s">
        <v>138</v>
      </c>
      <c r="D86" s="3" t="s">
        <v>139</v>
      </c>
      <c r="E86" s="3" t="s">
        <v>166</v>
      </c>
      <c r="F86" s="3" t="s">
        <v>167</v>
      </c>
      <c r="G86" s="3">
        <v>42</v>
      </c>
      <c r="H86" s="63">
        <v>1.3</v>
      </c>
      <c r="I86" s="64"/>
      <c r="J86" s="65">
        <f t="shared" si="66"/>
        <v>1.3</v>
      </c>
      <c r="K86" s="66">
        <v>24830</v>
      </c>
      <c r="L86" s="67">
        <f>VLOOKUP($E86,'[1]2.จัดสรรหลังSK'!$E$4:$Y$98,5,FALSE)</f>
        <v>1432.2998316552557</v>
      </c>
      <c r="M86" s="67">
        <f>VLOOKUP($E86,'[1]2.จัดสรรหลังSK'!$E$4:$Y$98,6,FALSE)</f>
        <v>286.82187515102697</v>
      </c>
      <c r="N86" s="68">
        <v>1659.4283</v>
      </c>
      <c r="O86" s="68">
        <v>32.650300000000001</v>
      </c>
      <c r="P86" s="68">
        <v>0</v>
      </c>
      <c r="Q86" s="63">
        <f t="shared" si="67"/>
        <v>6992.7660449367131</v>
      </c>
      <c r="R86" s="63">
        <f>VLOOKUP($E86,'[1]2.จัดสรรหลังSK'!$E$4:$Y$98,11,FALSE)</f>
        <v>35564004.82</v>
      </c>
      <c r="S86" s="63">
        <f>VLOOKUP($E86,'[1]2.จัดสรรหลังSK'!$E$4:$Y$98,12,FALSE)</f>
        <v>7121787.1600000001</v>
      </c>
      <c r="T86" s="65">
        <f>IF($I$105&lt;&gt;0,ROUND(ROUND(N86*J86,4)*Q86,2),VLOOKUP($E86,'[1]2.จัดสรรหลังSK'!$E$4:$Q$98,13,FALSE))</f>
        <v>15085192.1</v>
      </c>
      <c r="U86" s="63">
        <f>VLOOKUP($E86,'[1]2.จัดสรรหลังSK'!$E$4:$Y$98,14,FALSE)</f>
        <v>313442.88</v>
      </c>
      <c r="V86" s="63">
        <f>VLOOKUP($E86,'[1]2.จัดสรรหลังSK'!$E$4:$Y$98,15,FALSE)</f>
        <v>0</v>
      </c>
      <c r="W86" s="67">
        <f t="shared" si="57"/>
        <v>58084426.960000008</v>
      </c>
      <c r="X86" s="67">
        <v>31182818</v>
      </c>
      <c r="Y86" s="63">
        <f t="shared" si="58"/>
        <v>26901608.960000001</v>
      </c>
      <c r="Z86" s="69">
        <v>1296005.8700000001</v>
      </c>
      <c r="AA86" s="70">
        <f t="shared" si="59"/>
        <v>28197614.829999998</v>
      </c>
      <c r="AB86" s="67">
        <f>VLOOKUP($E86,'[1]2.จัดสรรหลังSK'!$E$4:$Y$98,21,FALSE)</f>
        <v>28304634.449999999</v>
      </c>
      <c r="AC86" s="67">
        <f t="shared" si="60"/>
        <v>-107019.62</v>
      </c>
      <c r="AD86" s="71" t="str">
        <f t="shared" si="61"/>
        <v>ไม่ผ่าน</v>
      </c>
      <c r="AE86" s="72"/>
      <c r="AF86" s="67">
        <f t="shared" si="62"/>
        <v>28197614.829999998</v>
      </c>
      <c r="AG86" s="72"/>
      <c r="AH86" s="72"/>
      <c r="AI86" s="67">
        <f t="shared" si="63"/>
        <v>0</v>
      </c>
      <c r="AJ86" s="67">
        <f t="shared" si="64"/>
        <v>28197614.829999998</v>
      </c>
      <c r="AK86" s="67">
        <f t="shared" si="65"/>
        <v>28197614.829999998</v>
      </c>
    </row>
    <row r="87" spans="1:37" ht="14.25" customHeight="1" outlineLevel="2">
      <c r="A87" s="2">
        <v>570</v>
      </c>
      <c r="B87" s="3" t="s">
        <v>6</v>
      </c>
      <c r="C87" s="3" t="s">
        <v>138</v>
      </c>
      <c r="D87" s="3" t="s">
        <v>139</v>
      </c>
      <c r="E87" s="3" t="s">
        <v>168</v>
      </c>
      <c r="F87" s="3" t="s">
        <v>169</v>
      </c>
      <c r="G87" s="3">
        <v>40</v>
      </c>
      <c r="H87" s="63">
        <v>1.25</v>
      </c>
      <c r="I87" s="64"/>
      <c r="J87" s="65">
        <f t="shared" si="66"/>
        <v>1.25</v>
      </c>
      <c r="K87" s="66">
        <v>33198</v>
      </c>
      <c r="L87" s="67">
        <f>VLOOKUP($E87,'[1]2.จัดสรรหลังSK'!$E$4:$Y$98,5,FALSE)</f>
        <v>1355.3783167660702</v>
      </c>
      <c r="M87" s="67">
        <f>VLOOKUP($E87,'[1]2.จัดสรรหลังSK'!$E$4:$Y$98,6,FALSE)</f>
        <v>271.4181360322911</v>
      </c>
      <c r="N87" s="68">
        <v>1213.3333</v>
      </c>
      <c r="O87" s="68">
        <v>24.559200000000001</v>
      </c>
      <c r="P87" s="68">
        <v>0</v>
      </c>
      <c r="Q87" s="63">
        <f t="shared" si="67"/>
        <v>6992.7660449367131</v>
      </c>
      <c r="R87" s="63">
        <f>VLOOKUP($E87,'[1]2.จัดสรรหลังSK'!$E$4:$Y$98,11,FALSE)</f>
        <v>44995849.359999999</v>
      </c>
      <c r="S87" s="63">
        <f>VLOOKUP($E87,'[1]2.จัดสรรหลังSK'!$E$4:$Y$98,12,FALSE)</f>
        <v>9010539.2799999993</v>
      </c>
      <c r="T87" s="65">
        <f>IF($I$105&lt;&gt;0,ROUND(ROUND(N87*J87,4)*Q87,2),VLOOKUP($E87,'[1]2.จัดสรรหลังSK'!$E$4:$Q$98,13,FALSE))</f>
        <v>10605694.699999999</v>
      </c>
      <c r="U87" s="63">
        <f>VLOOKUP($E87,'[1]2.จัดสรรหลังSK'!$E$4:$Y$98,14,FALSE)</f>
        <v>235768.32000000001</v>
      </c>
      <c r="V87" s="63">
        <f>VLOOKUP($E87,'[1]2.จัดสรรหลังSK'!$E$4:$Y$98,15,FALSE)</f>
        <v>0</v>
      </c>
      <c r="W87" s="67">
        <f t="shared" si="57"/>
        <v>64847851.660000004</v>
      </c>
      <c r="X87" s="67">
        <v>25151893</v>
      </c>
      <c r="Y87" s="63">
        <f t="shared" si="58"/>
        <v>39695958.659999996</v>
      </c>
      <c r="Z87" s="69">
        <v>0</v>
      </c>
      <c r="AA87" s="70">
        <f t="shared" si="59"/>
        <v>39695958.659999996</v>
      </c>
      <c r="AB87" s="67">
        <f>VLOOKUP($E87,'[1]2.จัดสรรหลังSK'!$E$4:$Y$98,21,FALSE)</f>
        <v>36874172.780000001</v>
      </c>
      <c r="AC87" s="67">
        <f t="shared" si="60"/>
        <v>2821785.88</v>
      </c>
      <c r="AD87" s="71" t="str">
        <f t="shared" si="61"/>
        <v>ผ่าน</v>
      </c>
      <c r="AE87" s="72"/>
      <c r="AF87" s="67">
        <f t="shared" si="62"/>
        <v>39695958.659999996</v>
      </c>
      <c r="AG87" s="72"/>
      <c r="AH87" s="72"/>
      <c r="AI87" s="67">
        <f t="shared" si="63"/>
        <v>0</v>
      </c>
      <c r="AJ87" s="67">
        <f t="shared" si="64"/>
        <v>39695958.659999996</v>
      </c>
      <c r="AK87" s="67">
        <f t="shared" si="65"/>
        <v>39695958.659999996</v>
      </c>
    </row>
    <row r="88" spans="1:37" ht="14.25" customHeight="1" outlineLevel="2">
      <c r="A88" s="2">
        <v>571</v>
      </c>
      <c r="B88" s="3" t="s">
        <v>6</v>
      </c>
      <c r="C88" s="3" t="s">
        <v>138</v>
      </c>
      <c r="D88" s="3" t="s">
        <v>139</v>
      </c>
      <c r="E88" s="3" t="s">
        <v>170</v>
      </c>
      <c r="F88" s="3" t="s">
        <v>171</v>
      </c>
      <c r="G88" s="3">
        <v>37</v>
      </c>
      <c r="H88" s="63">
        <v>1.3</v>
      </c>
      <c r="I88" s="64"/>
      <c r="J88" s="65">
        <f t="shared" si="66"/>
        <v>1.3</v>
      </c>
      <c r="K88" s="66">
        <v>28207</v>
      </c>
      <c r="L88" s="67">
        <f>VLOOKUP($E88,'[1]2.จัดสรรหลังSK'!$E$4:$Y$98,5,FALSE)</f>
        <v>1403.5573109511824</v>
      </c>
      <c r="M88" s="67">
        <f>VLOOKUP($E88,'[1]2.จัดสรรหลังSK'!$E$4:$Y$98,6,FALSE)</f>
        <v>281.06610841280531</v>
      </c>
      <c r="N88" s="68">
        <v>1427.8164999999999</v>
      </c>
      <c r="O88" s="68">
        <v>17.187799999999999</v>
      </c>
      <c r="P88" s="68">
        <v>1.9117999999999999</v>
      </c>
      <c r="Q88" s="63">
        <f t="shared" si="67"/>
        <v>6992.7660449367131</v>
      </c>
      <c r="R88" s="63">
        <f>VLOOKUP($E88,'[1]2.จัดสรรหลังSK'!$E$4:$Y$98,11,FALSE)</f>
        <v>39590141.07</v>
      </c>
      <c r="S88" s="63">
        <f>VLOOKUP($E88,'[1]2.จัดสรรหลังSK'!$E$4:$Y$98,12,FALSE)</f>
        <v>7928031.7199999997</v>
      </c>
      <c r="T88" s="65">
        <f>IF($I$105&lt;&gt;0,ROUND(ROUND(N88*J88,4)*Q88,2),VLOOKUP($E88,'[1]2.จัดสรรหลังSK'!$E$4:$Q$98,13,FALSE))</f>
        <v>12979703.109999999</v>
      </c>
      <c r="U88" s="63">
        <f>VLOOKUP($E88,'[1]2.จัดสรรหลังSK'!$E$4:$Y$98,14,FALSE)</f>
        <v>165002.88</v>
      </c>
      <c r="V88" s="63">
        <f>VLOOKUP($E88,'[1]2.จัดสรรหลังSK'!$E$4:$Y$98,15,FALSE)</f>
        <v>17206.2</v>
      </c>
      <c r="W88" s="67">
        <f t="shared" si="57"/>
        <v>60680084.980000004</v>
      </c>
      <c r="X88" s="67">
        <v>22229526</v>
      </c>
      <c r="Y88" s="63">
        <f t="shared" si="58"/>
        <v>38450558.979999997</v>
      </c>
      <c r="Z88" s="69">
        <v>0</v>
      </c>
      <c r="AA88" s="70">
        <f t="shared" si="59"/>
        <v>38450558.979999997</v>
      </c>
      <c r="AB88" s="67">
        <f>VLOOKUP($E88,'[1]2.จัดสรรหลังSK'!$E$4:$Y$98,21,FALSE)</f>
        <v>36690893.68</v>
      </c>
      <c r="AC88" s="67">
        <f t="shared" si="60"/>
        <v>1759665.3</v>
      </c>
      <c r="AD88" s="71" t="str">
        <f t="shared" si="61"/>
        <v>ผ่าน</v>
      </c>
      <c r="AE88" s="72"/>
      <c r="AF88" s="67">
        <f t="shared" si="62"/>
        <v>38450558.979999997</v>
      </c>
      <c r="AG88" s="72"/>
      <c r="AH88" s="72"/>
      <c r="AI88" s="67">
        <f t="shared" si="63"/>
        <v>0</v>
      </c>
      <c r="AJ88" s="67">
        <f t="shared" si="64"/>
        <v>38450558.979999997</v>
      </c>
      <c r="AK88" s="67">
        <f t="shared" si="65"/>
        <v>38450558.979999997</v>
      </c>
    </row>
    <row r="89" spans="1:37" ht="14.25" customHeight="1" outlineLevel="2">
      <c r="A89" s="2">
        <v>572</v>
      </c>
      <c r="B89" s="3" t="s">
        <v>6</v>
      </c>
      <c r="C89" s="3" t="s">
        <v>138</v>
      </c>
      <c r="D89" s="3" t="s">
        <v>139</v>
      </c>
      <c r="E89" s="3" t="s">
        <v>172</v>
      </c>
      <c r="F89" s="3" t="s">
        <v>173</v>
      </c>
      <c r="G89" s="3">
        <v>276</v>
      </c>
      <c r="H89" s="63">
        <v>1.1499999999999999</v>
      </c>
      <c r="I89" s="64"/>
      <c r="J89" s="65">
        <f t="shared" si="66"/>
        <v>1.1499999999999999</v>
      </c>
      <c r="K89" s="66">
        <v>114215</v>
      </c>
      <c r="L89" s="67">
        <f>VLOOKUP($E89,'[1]2.จัดสรรหลังSK'!$E$4:$Y$98,5,FALSE)</f>
        <v>986.38108076872561</v>
      </c>
      <c r="M89" s="67">
        <f>VLOOKUP($E89,'[1]2.จัดสรรหลังSK'!$E$4:$Y$98,6,FALSE)</f>
        <v>197.52545164820734</v>
      </c>
      <c r="N89" s="68">
        <v>12707.294400000001</v>
      </c>
      <c r="O89" s="68">
        <v>266.36020000000002</v>
      </c>
      <c r="P89" s="68">
        <v>277.48110000000003</v>
      </c>
      <c r="Q89" s="63">
        <f t="shared" si="67"/>
        <v>6992.7660449367131</v>
      </c>
      <c r="R89" s="63">
        <f>VLOOKUP($E89,'[1]2.จัดสรรหลังSK'!$E$4:$Y$98,11,FALSE)</f>
        <v>112659515.14</v>
      </c>
      <c r="S89" s="63">
        <f>VLOOKUP($E89,'[1]2.จัดสรรหลังSK'!$E$4:$Y$98,12,FALSE)</f>
        <v>22560369.460000001</v>
      </c>
      <c r="T89" s="65">
        <f>IF($I$105&lt;&gt;0,ROUND(ROUND(N89*J89,4)*Q89,2),VLOOKUP($E89,'[1]2.จัดสรรหลังSK'!$E$4:$Q$98,13,FALSE))</f>
        <v>102188007.59999999</v>
      </c>
      <c r="U89" s="63">
        <f>VLOOKUP($E89,'[1]2.จัดสรรหลังSK'!$E$4:$Y$98,14,FALSE)</f>
        <v>2557057.92</v>
      </c>
      <c r="V89" s="63">
        <f>VLOOKUP($E89,'[1]2.จัดสรรหลังSK'!$E$4:$Y$98,15,FALSE)</f>
        <v>2497329.9</v>
      </c>
      <c r="W89" s="67">
        <f t="shared" si="57"/>
        <v>242462280.01999998</v>
      </c>
      <c r="X89" s="67">
        <v>109859571</v>
      </c>
      <c r="Y89" s="63">
        <f t="shared" si="58"/>
        <v>132602709.02</v>
      </c>
      <c r="Z89" s="69">
        <v>27810456.699999999</v>
      </c>
      <c r="AA89" s="70">
        <f t="shared" si="59"/>
        <v>160413165.72</v>
      </c>
      <c r="AB89" s="67">
        <f>VLOOKUP($E89,'[1]2.จัดสรรหลังSK'!$E$4:$Y$98,21,FALSE)</f>
        <v>161138123.15000001</v>
      </c>
      <c r="AC89" s="67">
        <f t="shared" si="60"/>
        <v>-724957.43</v>
      </c>
      <c r="AD89" s="71" t="str">
        <f t="shared" si="61"/>
        <v>ไม่ผ่าน</v>
      </c>
      <c r="AE89" s="72"/>
      <c r="AF89" s="67">
        <f t="shared" si="62"/>
        <v>160413165.72</v>
      </c>
      <c r="AG89" s="72"/>
      <c r="AH89" s="72"/>
      <c r="AI89" s="67">
        <f t="shared" si="63"/>
        <v>0</v>
      </c>
      <c r="AJ89" s="67">
        <f t="shared" si="64"/>
        <v>160413165.72</v>
      </c>
      <c r="AK89" s="67">
        <f t="shared" si="65"/>
        <v>160413165.72</v>
      </c>
    </row>
    <row r="90" spans="1:37" ht="14.25" customHeight="1" outlineLevel="2">
      <c r="A90" s="2">
        <v>573</v>
      </c>
      <c r="B90" s="3" t="s">
        <v>6</v>
      </c>
      <c r="C90" s="3" t="s">
        <v>138</v>
      </c>
      <c r="D90" s="3" t="s">
        <v>139</v>
      </c>
      <c r="E90" s="3" t="s">
        <v>174</v>
      </c>
      <c r="F90" s="3" t="s">
        <v>175</v>
      </c>
      <c r="G90" s="3">
        <v>46</v>
      </c>
      <c r="H90" s="63">
        <v>1.3</v>
      </c>
      <c r="I90" s="64"/>
      <c r="J90" s="65">
        <f t="shared" si="66"/>
        <v>1.3</v>
      </c>
      <c r="K90" s="66">
        <v>28522</v>
      </c>
      <c r="L90" s="67">
        <f>VLOOKUP($E90,'[1]2.จัดสรรหลังSK'!$E$4:$Y$98,5,FALSE)</f>
        <v>1401.2233093752191</v>
      </c>
      <c r="M90" s="67">
        <f>VLOOKUP($E90,'[1]2.จัดสรรหลังSK'!$E$4:$Y$98,6,FALSE)</f>
        <v>280.5987185330622</v>
      </c>
      <c r="N90" s="68">
        <v>907.36059999999998</v>
      </c>
      <c r="O90" s="68">
        <v>28.359000000000002</v>
      </c>
      <c r="P90" s="68">
        <v>0</v>
      </c>
      <c r="Q90" s="63">
        <f t="shared" si="67"/>
        <v>6992.7660449367131</v>
      </c>
      <c r="R90" s="63">
        <f>VLOOKUP($E90,'[1]2.จัดสรรหลังSK'!$E$4:$Y$98,11,FALSE)</f>
        <v>39965691.229999997</v>
      </c>
      <c r="S90" s="63">
        <f>VLOOKUP($E90,'[1]2.จัดสรรหลังSK'!$E$4:$Y$98,12,FALSE)</f>
        <v>8003236.6500000004</v>
      </c>
      <c r="T90" s="65">
        <f>IF($I$105&lt;&gt;0,ROUND(ROUND(N90*J90,4)*Q90,2),VLOOKUP($E90,'[1]2.จัดสรรหลังSK'!$E$4:$Q$98,13,FALSE))</f>
        <v>8248448.6500000004</v>
      </c>
      <c r="U90" s="63">
        <f>VLOOKUP($E90,'[1]2.จัดสรรหลังSK'!$E$4:$Y$98,14,FALSE)</f>
        <v>272246.40000000002</v>
      </c>
      <c r="V90" s="63">
        <f>VLOOKUP($E90,'[1]2.จัดสรรหลังSK'!$E$4:$Y$98,15,FALSE)</f>
        <v>0</v>
      </c>
      <c r="W90" s="67">
        <f t="shared" si="57"/>
        <v>56489622.929999992</v>
      </c>
      <c r="X90" s="67">
        <v>21853931</v>
      </c>
      <c r="Y90" s="63">
        <f t="shared" si="58"/>
        <v>34635691.93</v>
      </c>
      <c r="Z90" s="69">
        <v>0</v>
      </c>
      <c r="AA90" s="70">
        <f t="shared" si="59"/>
        <v>34635691.93</v>
      </c>
      <c r="AB90" s="67">
        <f>VLOOKUP($E90,'[1]2.จัดสรรหลังSK'!$E$4:$Y$98,21,FALSE)</f>
        <v>31609200.859999999</v>
      </c>
      <c r="AC90" s="67">
        <f t="shared" si="60"/>
        <v>3026491.07</v>
      </c>
      <c r="AD90" s="71" t="str">
        <f t="shared" si="61"/>
        <v>ผ่าน</v>
      </c>
      <c r="AE90" s="72"/>
      <c r="AF90" s="67">
        <f t="shared" si="62"/>
        <v>34635691.93</v>
      </c>
      <c r="AG90" s="72"/>
      <c r="AH90" s="72"/>
      <c r="AI90" s="67">
        <f t="shared" si="63"/>
        <v>0</v>
      </c>
      <c r="AJ90" s="67">
        <f t="shared" si="64"/>
        <v>34635691.93</v>
      </c>
      <c r="AK90" s="67">
        <f t="shared" si="65"/>
        <v>34635691.93</v>
      </c>
    </row>
    <row r="91" spans="1:37" ht="14.25" customHeight="1" outlineLevel="1">
      <c r="A91" s="4"/>
      <c r="B91" s="5"/>
      <c r="C91" s="73"/>
      <c r="D91" s="6" t="s">
        <v>176</v>
      </c>
      <c r="E91" s="5"/>
      <c r="F91" s="5"/>
      <c r="G91" s="5"/>
      <c r="H91" s="74"/>
      <c r="I91" s="75"/>
      <c r="J91" s="76"/>
      <c r="K91" s="77">
        <f>SUBTOTAL(9,K73:K90)</f>
        <v>850320</v>
      </c>
      <c r="L91" s="78"/>
      <c r="M91" s="78"/>
      <c r="N91" s="79">
        <f t="shared" ref="N91:AC91" si="68">SUBTOTAL(9,N73:N90)</f>
        <v>116713.70759999998</v>
      </c>
      <c r="O91" s="79">
        <f t="shared" si="68"/>
        <v>2751.2419000000004</v>
      </c>
      <c r="P91" s="79">
        <f t="shared" si="68"/>
        <v>3805.1668999999997</v>
      </c>
      <c r="Q91" s="74"/>
      <c r="R91" s="74">
        <f t="shared" si="68"/>
        <v>1004767996.7900002</v>
      </c>
      <c r="S91" s="74">
        <f t="shared" si="68"/>
        <v>201207480.84000003</v>
      </c>
      <c r="T91" s="76">
        <f t="shared" si="68"/>
        <v>911755781.75000012</v>
      </c>
      <c r="U91" s="74">
        <f t="shared" si="68"/>
        <v>26411922.239999987</v>
      </c>
      <c r="V91" s="74">
        <f t="shared" si="68"/>
        <v>34246502.100000001</v>
      </c>
      <c r="W91" s="78">
        <f t="shared" si="68"/>
        <v>2178389683.7199998</v>
      </c>
      <c r="X91" s="78">
        <f t="shared" si="68"/>
        <v>969813526</v>
      </c>
      <c r="Y91" s="74">
        <f t="shared" si="68"/>
        <v>1208576157.7200003</v>
      </c>
      <c r="Z91" s="74">
        <f t="shared" si="68"/>
        <v>34097925</v>
      </c>
      <c r="AA91" s="80">
        <f t="shared" si="68"/>
        <v>1242674082.7200003</v>
      </c>
      <c r="AB91" s="78">
        <f t="shared" si="68"/>
        <v>1160490527.4400001</v>
      </c>
      <c r="AC91" s="78">
        <f t="shared" si="68"/>
        <v>82183555.279999956</v>
      </c>
      <c r="AD91" s="81"/>
      <c r="AE91" s="82">
        <f t="shared" ref="AE91:AK91" si="69">SUBTOTAL(9,AE73:AE90)</f>
        <v>0</v>
      </c>
      <c r="AF91" s="78">
        <f t="shared" si="69"/>
        <v>1242674082.7200003</v>
      </c>
      <c r="AG91" s="82">
        <f t="shared" si="69"/>
        <v>0</v>
      </c>
      <c r="AH91" s="82">
        <f t="shared" si="69"/>
        <v>0</v>
      </c>
      <c r="AI91" s="78">
        <f t="shared" si="69"/>
        <v>0</v>
      </c>
      <c r="AJ91" s="78">
        <f t="shared" si="69"/>
        <v>1242674082.7200003</v>
      </c>
      <c r="AK91" s="78">
        <f t="shared" si="69"/>
        <v>1242674082.7200003</v>
      </c>
    </row>
    <row r="92" spans="1:37" ht="14.25" customHeight="1" outlineLevel="2">
      <c r="A92" s="51">
        <v>574</v>
      </c>
      <c r="B92" s="52" t="s">
        <v>6</v>
      </c>
      <c r="C92" s="3" t="s">
        <v>177</v>
      </c>
      <c r="D92" s="52" t="s">
        <v>178</v>
      </c>
      <c r="E92" s="52" t="s">
        <v>179</v>
      </c>
      <c r="F92" s="52" t="s">
        <v>180</v>
      </c>
      <c r="G92" s="52">
        <v>404</v>
      </c>
      <c r="H92" s="53">
        <v>1.1000000000000001</v>
      </c>
      <c r="I92" s="54"/>
      <c r="J92" s="55">
        <f t="shared" si="66"/>
        <v>1.1000000000000001</v>
      </c>
      <c r="K92" s="56">
        <v>109113</v>
      </c>
      <c r="L92" s="57">
        <f>VLOOKUP($E92,'[1]2.จัดสรรหลังSK'!$E$4:$Y$98,5,FALSE)</f>
        <v>999.05188236048878</v>
      </c>
      <c r="M92" s="57">
        <f>VLOOKUP($E92,'[1]2.จัดสรรหลังSK'!$E$4:$Y$98,6,FALSE)</f>
        <v>199.29685317056629</v>
      </c>
      <c r="N92" s="58">
        <v>25516.167799999999</v>
      </c>
      <c r="O92" s="58">
        <v>671.09690000000001</v>
      </c>
      <c r="P92" s="58">
        <v>714.05830000000003</v>
      </c>
      <c r="Q92" s="53">
        <f t="shared" si="67"/>
        <v>6992.7660449367131</v>
      </c>
      <c r="R92" s="53">
        <f>VLOOKUP($E92,'[1]2.จัดสรรหลังSK'!$E$4:$Y$98,11,FALSE)</f>
        <v>109009548.04000001</v>
      </c>
      <c r="S92" s="53">
        <f>VLOOKUP($E92,'[1]2.จัดสรรหลังSK'!$E$4:$Y$98,12,FALSE)</f>
        <v>21745877.539999999</v>
      </c>
      <c r="T92" s="55">
        <f>IF($I$105&lt;&gt;0,ROUND(ROUND(N92*J92,4)*Q92,2),VLOOKUP($E92,'[1]2.จัดสรรหลังSK'!$E$4:$Q$98,13,FALSE))</f>
        <v>196271451.11000001</v>
      </c>
      <c r="U92" s="53">
        <f>VLOOKUP($E92,'[1]2.จัดสรรหลังSK'!$E$4:$Y$98,14,FALSE)</f>
        <v>6442530.2400000002</v>
      </c>
      <c r="V92" s="53">
        <f>VLOOKUP($E92,'[1]2.จัดสรรหลังSK'!$E$4:$Y$98,15,FALSE)</f>
        <v>6426524.7000000002</v>
      </c>
      <c r="W92" s="57">
        <f t="shared" ref="W92:W103" si="70">SUM(R92:V92)</f>
        <v>339895931.63000005</v>
      </c>
      <c r="X92" s="57">
        <v>205387946</v>
      </c>
      <c r="Y92" s="53">
        <f t="shared" ref="Y92:Y103" si="71">ROUND(W92-X92,2)</f>
        <v>134507985.63</v>
      </c>
      <c r="Z92" s="59">
        <v>0</v>
      </c>
      <c r="AA92" s="60">
        <f t="shared" ref="AA92:AA103" si="72">ROUND(Y92+Z92,2)</f>
        <v>134507985.63</v>
      </c>
      <c r="AB92" s="57">
        <f>VLOOKUP($E92,'[1]2.จัดสรรหลังSK'!$E$4:$Y$98,21,FALSE)</f>
        <v>128746308.27</v>
      </c>
      <c r="AC92" s="57">
        <f t="shared" ref="AC92:AC103" si="73">ROUND(AA92-AB92,2)</f>
        <v>5761677.3600000003</v>
      </c>
      <c r="AD92" s="61" t="str">
        <f t="shared" ref="AD92:AD103" si="74">IF(AA92&gt;=AB92,"ผ่าน","ไม่ผ่าน")</f>
        <v>ผ่าน</v>
      </c>
      <c r="AE92" s="62"/>
      <c r="AF92" s="57">
        <f t="shared" ref="AF92:AF103" si="75">ROUND(AA92+AE92,2)</f>
        <v>134507985.63</v>
      </c>
      <c r="AG92" s="62"/>
      <c r="AH92" s="62"/>
      <c r="AI92" s="57">
        <f t="shared" ref="AI92:AI103" si="76">ROUND(AG92+AH92,2)</f>
        <v>0</v>
      </c>
      <c r="AJ92" s="57">
        <f t="shared" ref="AJ92:AJ103" si="77">ROUND(AA92-AI92,2)</f>
        <v>134507985.63</v>
      </c>
      <c r="AK92" s="57">
        <f t="shared" ref="AK92:AK103" si="78">ROUND(AF92-AI92,2)</f>
        <v>134507985.63</v>
      </c>
    </row>
    <row r="93" spans="1:37" ht="14.25" customHeight="1" outlineLevel="2">
      <c r="A93" s="2">
        <v>575</v>
      </c>
      <c r="B93" s="3" t="s">
        <v>6</v>
      </c>
      <c r="C93" s="3" t="s">
        <v>177</v>
      </c>
      <c r="D93" s="3" t="s">
        <v>178</v>
      </c>
      <c r="E93" s="3" t="s">
        <v>181</v>
      </c>
      <c r="F93" s="3" t="s">
        <v>182</v>
      </c>
      <c r="G93" s="3">
        <v>40</v>
      </c>
      <c r="H93" s="63">
        <v>1.2</v>
      </c>
      <c r="I93" s="64"/>
      <c r="J93" s="65">
        <f t="shared" si="66"/>
        <v>1.2</v>
      </c>
      <c r="K93" s="66">
        <v>40027</v>
      </c>
      <c r="L93" s="67">
        <f>VLOOKUP($E93,'[1]2.จัดสรรหลังSK'!$E$4:$Y$98,5,FALSE)</f>
        <v>1301.535607964624</v>
      </c>
      <c r="M93" s="67">
        <f>VLOOKUP($E93,'[1]2.จัดสรรหลังSK'!$E$4:$Y$98,6,FALSE)</f>
        <v>259.63811851999901</v>
      </c>
      <c r="N93" s="68">
        <v>924.58839999999998</v>
      </c>
      <c r="O93" s="68">
        <v>14.5588</v>
      </c>
      <c r="P93" s="68">
        <v>0</v>
      </c>
      <c r="Q93" s="63">
        <f t="shared" si="67"/>
        <v>6992.7660449367131</v>
      </c>
      <c r="R93" s="63">
        <f>VLOOKUP($E93,'[1]2.จัดสรรหลังSK'!$E$4:$Y$98,11,FALSE)</f>
        <v>52096565.780000001</v>
      </c>
      <c r="S93" s="63">
        <f>VLOOKUP($E93,'[1]2.จัดสรรหลังSK'!$E$4:$Y$98,12,FALSE)</f>
        <v>10392534.970000001</v>
      </c>
      <c r="T93" s="65">
        <f>IF($I$105&lt;&gt;0,ROUND(ROUND(N93*J93,4)*Q93,2),VLOOKUP($E93,'[1]2.จัดสรรหลังSK'!$E$4:$Q$98,13,FALSE))</f>
        <v>7758516.5800000001</v>
      </c>
      <c r="U93" s="63">
        <f>VLOOKUP($E93,'[1]2.จัดสรรหลังSK'!$E$4:$Y$98,14,FALSE)</f>
        <v>139764.48000000001</v>
      </c>
      <c r="V93" s="63">
        <f>VLOOKUP($E93,'[1]2.จัดสรรหลังSK'!$E$4:$Y$98,15,FALSE)</f>
        <v>0</v>
      </c>
      <c r="W93" s="67">
        <f t="shared" si="70"/>
        <v>70387381.810000002</v>
      </c>
      <c r="X93" s="67">
        <v>27908686</v>
      </c>
      <c r="Y93" s="63">
        <f t="shared" si="71"/>
        <v>42478695.810000002</v>
      </c>
      <c r="Z93" s="69">
        <v>0</v>
      </c>
      <c r="AA93" s="70">
        <f t="shared" si="72"/>
        <v>42478695.810000002</v>
      </c>
      <c r="AB93" s="67">
        <f>VLOOKUP($E93,'[1]2.จัดสรรหลังSK'!$E$4:$Y$98,21,FALSE)</f>
        <v>38667037.390000001</v>
      </c>
      <c r="AC93" s="67">
        <f t="shared" si="73"/>
        <v>3811658.42</v>
      </c>
      <c r="AD93" s="71" t="str">
        <f t="shared" si="74"/>
        <v>ผ่าน</v>
      </c>
      <c r="AE93" s="72"/>
      <c r="AF93" s="67">
        <f t="shared" si="75"/>
        <v>42478695.810000002</v>
      </c>
      <c r="AG93" s="72"/>
      <c r="AH93" s="72"/>
      <c r="AI93" s="67">
        <f t="shared" si="76"/>
        <v>0</v>
      </c>
      <c r="AJ93" s="67">
        <f t="shared" si="77"/>
        <v>42478695.810000002</v>
      </c>
      <c r="AK93" s="67">
        <f t="shared" si="78"/>
        <v>42478695.810000002</v>
      </c>
    </row>
    <row r="94" spans="1:37" ht="14.25" customHeight="1" outlineLevel="2">
      <c r="A94" s="2">
        <v>576</v>
      </c>
      <c r="B94" s="3" t="s">
        <v>6</v>
      </c>
      <c r="C94" s="3" t="s">
        <v>177</v>
      </c>
      <c r="D94" s="3" t="s">
        <v>178</v>
      </c>
      <c r="E94" s="3" t="s">
        <v>183</v>
      </c>
      <c r="F94" s="3" t="s">
        <v>184</v>
      </c>
      <c r="G94" s="3">
        <v>47</v>
      </c>
      <c r="H94" s="63">
        <v>1.2</v>
      </c>
      <c r="I94" s="64"/>
      <c r="J94" s="65">
        <f t="shared" si="66"/>
        <v>1.2</v>
      </c>
      <c r="K94" s="66">
        <v>44722</v>
      </c>
      <c r="L94" s="67">
        <f>VLOOKUP($E94,'[1]2.จัดสรรหลังSK'!$E$4:$Y$98,5,FALSE)</f>
        <v>1263.4747895890166</v>
      </c>
      <c r="M94" s="67">
        <f>VLOOKUP($E94,'[1]2.จัดสรรหลังSK'!$E$4:$Y$98,6,FALSE)</f>
        <v>252.04551831313447</v>
      </c>
      <c r="N94" s="68">
        <v>1245.3439000000001</v>
      </c>
      <c r="O94" s="68">
        <v>28.5381</v>
      </c>
      <c r="P94" s="68">
        <v>0</v>
      </c>
      <c r="Q94" s="63">
        <f t="shared" si="67"/>
        <v>6992.7660449367131</v>
      </c>
      <c r="R94" s="63">
        <f>VLOOKUP($E94,'[1]2.จัดสรรหลังSK'!$E$4:$Y$98,11,FALSE)</f>
        <v>56505119.539999999</v>
      </c>
      <c r="S94" s="63">
        <f>VLOOKUP($E94,'[1]2.จัดสรรหลังSK'!$E$4:$Y$98,12,FALSE)</f>
        <v>11271979.67</v>
      </c>
      <c r="T94" s="65">
        <f>IF($I$105&lt;&gt;0,ROUND(ROUND(N94*J94,4)*Q94,2),VLOOKUP($E94,'[1]2.จัดสรรหลังSK'!$E$4:$Q$98,13,FALSE))</f>
        <v>10450078.390000001</v>
      </c>
      <c r="U94" s="63">
        <f>VLOOKUP($E94,'[1]2.จัดสรรหลังSK'!$E$4:$Y$98,14,FALSE)</f>
        <v>273965.76</v>
      </c>
      <c r="V94" s="63">
        <f>VLOOKUP($E94,'[1]2.จัดสรรหลังSK'!$E$4:$Y$98,15,FALSE)</f>
        <v>0</v>
      </c>
      <c r="W94" s="67">
        <f t="shared" si="70"/>
        <v>78501143.359999999</v>
      </c>
      <c r="X94" s="67">
        <v>36981964</v>
      </c>
      <c r="Y94" s="63">
        <f t="shared" si="71"/>
        <v>41519179.359999999</v>
      </c>
      <c r="Z94" s="69">
        <v>0</v>
      </c>
      <c r="AA94" s="70">
        <f t="shared" si="72"/>
        <v>41519179.359999999</v>
      </c>
      <c r="AB94" s="67">
        <f>VLOOKUP($E94,'[1]2.จัดสรรหลังSK'!$E$4:$Y$98,21,FALSE)</f>
        <v>34856173.670000002</v>
      </c>
      <c r="AC94" s="67">
        <f t="shared" si="73"/>
        <v>6663005.6900000004</v>
      </c>
      <c r="AD94" s="71" t="str">
        <f t="shared" si="74"/>
        <v>ผ่าน</v>
      </c>
      <c r="AE94" s="72"/>
      <c r="AF94" s="67">
        <f t="shared" si="75"/>
        <v>41519179.359999999</v>
      </c>
      <c r="AG94" s="72"/>
      <c r="AH94" s="72"/>
      <c r="AI94" s="67">
        <f t="shared" si="76"/>
        <v>0</v>
      </c>
      <c r="AJ94" s="67">
        <f t="shared" si="77"/>
        <v>41519179.359999999</v>
      </c>
      <c r="AK94" s="67">
        <f t="shared" si="78"/>
        <v>41519179.359999999</v>
      </c>
    </row>
    <row r="95" spans="1:37" ht="14.25" customHeight="1" outlineLevel="2">
      <c r="A95" s="2">
        <v>577</v>
      </c>
      <c r="B95" s="3" t="s">
        <v>6</v>
      </c>
      <c r="C95" s="3" t="s">
        <v>177</v>
      </c>
      <c r="D95" s="3" t="s">
        <v>178</v>
      </c>
      <c r="E95" s="3" t="s">
        <v>185</v>
      </c>
      <c r="F95" s="3" t="s">
        <v>186</v>
      </c>
      <c r="G95" s="3">
        <v>43</v>
      </c>
      <c r="H95" s="63">
        <v>1.3</v>
      </c>
      <c r="I95" s="64"/>
      <c r="J95" s="65">
        <f t="shared" si="66"/>
        <v>1.3</v>
      </c>
      <c r="K95" s="66">
        <v>27134</v>
      </c>
      <c r="L95" s="67">
        <f>VLOOKUP($E95,'[1]2.จัดสรรหลังSK'!$E$4:$Y$98,5,FALSE)</f>
        <v>1415.2946487801282</v>
      </c>
      <c r="M95" s="67">
        <f>VLOOKUP($E95,'[1]2.จัดสรรหลังSK'!$E$4:$Y$98,6,FALSE)</f>
        <v>282.33145315839909</v>
      </c>
      <c r="N95" s="68">
        <v>1291.7336</v>
      </c>
      <c r="O95" s="68">
        <v>36.531300000000002</v>
      </c>
      <c r="P95" s="68">
        <v>0</v>
      </c>
      <c r="Q95" s="63">
        <f t="shared" si="67"/>
        <v>6992.7660449367131</v>
      </c>
      <c r="R95" s="63">
        <f>VLOOKUP($E95,'[1]2.จัดสรรหลังSK'!$E$4:$Y$98,11,FALSE)</f>
        <v>38402605</v>
      </c>
      <c r="S95" s="63">
        <f>VLOOKUP($E95,'[1]2.จัดสรรหลังSK'!$E$4:$Y$98,12,FALSE)</f>
        <v>7660781.6500000004</v>
      </c>
      <c r="T95" s="65">
        <f>IF($I$105&lt;&gt;0,ROUND(ROUND(N95*J95,4)*Q95,2),VLOOKUP($E95,'[1]2.จัดสรรหลังSK'!$E$4:$Q$98,13,FALSE))</f>
        <v>11742628.25</v>
      </c>
      <c r="U95" s="63">
        <f>VLOOKUP($E95,'[1]2.จัดสรรหลังSK'!$E$4:$Y$98,14,FALSE)</f>
        <v>350700.48</v>
      </c>
      <c r="V95" s="63">
        <f>VLOOKUP($E95,'[1]2.จัดสรรหลังSK'!$E$4:$Y$98,15,FALSE)</f>
        <v>0</v>
      </c>
      <c r="W95" s="67">
        <f t="shared" si="70"/>
        <v>58156715.379999995</v>
      </c>
      <c r="X95" s="67">
        <v>25998966</v>
      </c>
      <c r="Y95" s="63">
        <f t="shared" si="71"/>
        <v>32157749.379999999</v>
      </c>
      <c r="Z95" s="69">
        <v>0</v>
      </c>
      <c r="AA95" s="70">
        <f t="shared" si="72"/>
        <v>32157749.379999999</v>
      </c>
      <c r="AB95" s="67">
        <f>VLOOKUP($E95,'[1]2.จัดสรรหลังSK'!$E$4:$Y$98,21,FALSE)</f>
        <v>24490811.07</v>
      </c>
      <c r="AC95" s="67">
        <f t="shared" si="73"/>
        <v>7666938.3099999996</v>
      </c>
      <c r="AD95" s="71" t="str">
        <f t="shared" si="74"/>
        <v>ผ่าน</v>
      </c>
      <c r="AE95" s="72"/>
      <c r="AF95" s="67">
        <f t="shared" si="75"/>
        <v>32157749.379999999</v>
      </c>
      <c r="AG95" s="72"/>
      <c r="AH95" s="72"/>
      <c r="AI95" s="67">
        <f t="shared" si="76"/>
        <v>0</v>
      </c>
      <c r="AJ95" s="67">
        <f t="shared" si="77"/>
        <v>32157749.379999999</v>
      </c>
      <c r="AK95" s="67">
        <f t="shared" si="78"/>
        <v>32157749.379999999</v>
      </c>
    </row>
    <row r="96" spans="1:37" ht="14.25" customHeight="1" outlineLevel="2">
      <c r="A96" s="2">
        <v>578</v>
      </c>
      <c r="B96" s="3" t="s">
        <v>6</v>
      </c>
      <c r="C96" s="3" t="s">
        <v>177</v>
      </c>
      <c r="D96" s="3" t="s">
        <v>178</v>
      </c>
      <c r="E96" s="3" t="s">
        <v>187</v>
      </c>
      <c r="F96" s="3" t="s">
        <v>188</v>
      </c>
      <c r="G96" s="3">
        <v>33</v>
      </c>
      <c r="H96" s="63">
        <v>1.35</v>
      </c>
      <c r="I96" s="64"/>
      <c r="J96" s="65">
        <f t="shared" si="66"/>
        <v>1.35</v>
      </c>
      <c r="K96" s="66">
        <v>17744</v>
      </c>
      <c r="L96" s="67">
        <f>VLOOKUP($E96,'[1]2.จัดสรรหลังSK'!$E$4:$Y$98,5,FALSE)</f>
        <v>1510.1259873760143</v>
      </c>
      <c r="M96" s="67">
        <f>VLOOKUP($E96,'[1]2.จัดสรรหลังSK'!$E$4:$Y$98,6,FALSE)</f>
        <v>301.24897655545533</v>
      </c>
      <c r="N96" s="68">
        <v>848.11040000000003</v>
      </c>
      <c r="O96" s="68">
        <v>8.4916999999999998</v>
      </c>
      <c r="P96" s="68">
        <v>0</v>
      </c>
      <c r="Q96" s="63">
        <f t="shared" si="67"/>
        <v>6992.7660449367131</v>
      </c>
      <c r="R96" s="63">
        <f>VLOOKUP($E96,'[1]2.จัดสรรหลังSK'!$E$4:$Y$98,11,FALSE)</f>
        <v>26795675.52</v>
      </c>
      <c r="S96" s="63">
        <f>VLOOKUP($E96,'[1]2.จัดสรรหลังSK'!$E$4:$Y$98,12,FALSE)</f>
        <v>5345361.84</v>
      </c>
      <c r="T96" s="65">
        <f>IF($I$105&lt;&gt;0,ROUND(ROUND(N96*J96,4)*Q96,2),VLOOKUP($E96,'[1]2.จัดสรรหลังSK'!$E$4:$Q$98,13,FALSE))</f>
        <v>8006360.4900000002</v>
      </c>
      <c r="U96" s="63">
        <f>VLOOKUP($E96,'[1]2.จัดสรรหลังSK'!$E$4:$Y$98,14,FALSE)</f>
        <v>81520.320000000007</v>
      </c>
      <c r="V96" s="63">
        <f>VLOOKUP($E96,'[1]2.จัดสรรหลังSK'!$E$4:$Y$98,15,FALSE)</f>
        <v>0</v>
      </c>
      <c r="W96" s="67">
        <f t="shared" si="70"/>
        <v>40228918.170000002</v>
      </c>
      <c r="X96" s="67">
        <v>18659948</v>
      </c>
      <c r="Y96" s="63">
        <f t="shared" si="71"/>
        <v>21568970.170000002</v>
      </c>
      <c r="Z96" s="69">
        <v>247484.82</v>
      </c>
      <c r="AA96" s="70">
        <f t="shared" si="72"/>
        <v>21816454.989999998</v>
      </c>
      <c r="AB96" s="67">
        <f>VLOOKUP($E96,'[1]2.จัดสรรหลังSK'!$E$4:$Y$98,21,FALSE)</f>
        <v>21873254.91</v>
      </c>
      <c r="AC96" s="67">
        <f t="shared" si="73"/>
        <v>-56799.92</v>
      </c>
      <c r="AD96" s="71" t="str">
        <f t="shared" si="74"/>
        <v>ไม่ผ่าน</v>
      </c>
      <c r="AE96" s="72"/>
      <c r="AF96" s="67">
        <f t="shared" si="75"/>
        <v>21816454.989999998</v>
      </c>
      <c r="AG96" s="72"/>
      <c r="AH96" s="72"/>
      <c r="AI96" s="67">
        <f t="shared" si="76"/>
        <v>0</v>
      </c>
      <c r="AJ96" s="67">
        <f t="shared" si="77"/>
        <v>21816454.989999998</v>
      </c>
      <c r="AK96" s="67">
        <f t="shared" si="78"/>
        <v>21816454.989999998</v>
      </c>
    </row>
    <row r="97" spans="1:37" ht="14.25" customHeight="1" outlineLevel="2">
      <c r="A97" s="2">
        <v>579</v>
      </c>
      <c r="B97" s="3" t="s">
        <v>6</v>
      </c>
      <c r="C97" s="3" t="s">
        <v>177</v>
      </c>
      <c r="D97" s="3" t="s">
        <v>178</v>
      </c>
      <c r="E97" s="3" t="s">
        <v>189</v>
      </c>
      <c r="F97" s="3" t="s">
        <v>190</v>
      </c>
      <c r="G97" s="3">
        <v>39</v>
      </c>
      <c r="H97" s="63">
        <v>1.25</v>
      </c>
      <c r="I97" s="64"/>
      <c r="J97" s="65">
        <f t="shared" si="66"/>
        <v>1.25</v>
      </c>
      <c r="K97" s="66">
        <v>32932</v>
      </c>
      <c r="L97" s="67">
        <f>VLOOKUP($E97,'[1]2.จัดสรรหลังSK'!$E$4:$Y$98,5,FALSE)</f>
        <v>1361.3231820114174</v>
      </c>
      <c r="M97" s="67">
        <f>VLOOKUP($E97,'[1]2.จัดสรรหลังSK'!$E$4:$Y$98,6,FALSE)</f>
        <v>271.56490161545003</v>
      </c>
      <c r="N97" s="68">
        <v>1584.6184000000001</v>
      </c>
      <c r="O97" s="68">
        <v>27.335699999999999</v>
      </c>
      <c r="P97" s="68">
        <v>0</v>
      </c>
      <c r="Q97" s="63">
        <f t="shared" si="67"/>
        <v>6992.7660449367131</v>
      </c>
      <c r="R97" s="63">
        <f>VLOOKUP($E97,'[1]2.จัดสรรหลังSK'!$E$4:$Y$98,11,FALSE)</f>
        <v>44831095.030000001</v>
      </c>
      <c r="S97" s="63">
        <f>VLOOKUP($E97,'[1]2.จัดสรรหลังSK'!$E$4:$Y$98,12,FALSE)</f>
        <v>8943175.3399999999</v>
      </c>
      <c r="T97" s="65">
        <f>IF($I$105&lt;&gt;0,ROUND(ROUND(N97*J97,4)*Q97,2),VLOOKUP($E97,'[1]2.จัดสรรหลังSK'!$E$4:$Q$98,13,FALSE))</f>
        <v>13851082.18</v>
      </c>
      <c r="U97" s="63">
        <f>VLOOKUP($E97,'[1]2.จัดสรรหลังSK'!$E$4:$Y$98,14,FALSE)</f>
        <v>262422.71999999997</v>
      </c>
      <c r="V97" s="63">
        <f>VLOOKUP($E97,'[1]2.จัดสรรหลังSK'!$E$4:$Y$98,15,FALSE)</f>
        <v>0</v>
      </c>
      <c r="W97" s="67">
        <f t="shared" si="70"/>
        <v>67887775.270000011</v>
      </c>
      <c r="X97" s="67">
        <v>42505656</v>
      </c>
      <c r="Y97" s="63">
        <f t="shared" si="71"/>
        <v>25382119.27</v>
      </c>
      <c r="Z97" s="69">
        <v>0</v>
      </c>
      <c r="AA97" s="70">
        <f t="shared" si="72"/>
        <v>25382119.27</v>
      </c>
      <c r="AB97" s="67">
        <f>VLOOKUP($E97,'[1]2.จัดสรรหลังSK'!$E$4:$Y$98,21,FALSE)</f>
        <v>23334103.899999999</v>
      </c>
      <c r="AC97" s="67">
        <f t="shared" si="73"/>
        <v>2048015.37</v>
      </c>
      <c r="AD97" s="71" t="str">
        <f t="shared" si="74"/>
        <v>ผ่าน</v>
      </c>
      <c r="AE97" s="72"/>
      <c r="AF97" s="67">
        <f t="shared" si="75"/>
        <v>25382119.27</v>
      </c>
      <c r="AG97" s="72"/>
      <c r="AH97" s="72"/>
      <c r="AI97" s="67">
        <f t="shared" si="76"/>
        <v>0</v>
      </c>
      <c r="AJ97" s="67">
        <f t="shared" si="77"/>
        <v>25382119.27</v>
      </c>
      <c r="AK97" s="67">
        <f t="shared" si="78"/>
        <v>25382119.27</v>
      </c>
    </row>
    <row r="98" spans="1:37" ht="14.25" customHeight="1" outlineLevel="2">
      <c r="A98" s="2">
        <v>580</v>
      </c>
      <c r="B98" s="3" t="s">
        <v>6</v>
      </c>
      <c r="C98" s="3" t="s">
        <v>177</v>
      </c>
      <c r="D98" s="3" t="s">
        <v>178</v>
      </c>
      <c r="E98" s="3" t="s">
        <v>191</v>
      </c>
      <c r="F98" s="3" t="s">
        <v>192</v>
      </c>
      <c r="G98" s="3">
        <v>60</v>
      </c>
      <c r="H98" s="63">
        <v>1.1499999999999999</v>
      </c>
      <c r="I98" s="64">
        <v>1.2</v>
      </c>
      <c r="J98" s="65">
        <f t="shared" si="66"/>
        <v>1.2</v>
      </c>
      <c r="K98" s="66">
        <v>55055</v>
      </c>
      <c r="L98" s="67">
        <f>VLOOKUP($E98,'[1]2.จัดสรรหลังSK'!$E$4:$Y$98,5,FALSE)</f>
        <v>1194.7359119062755</v>
      </c>
      <c r="M98" s="67">
        <f>VLOOKUP($E98,'[1]2.จัดสรรหลังSK'!$E$4:$Y$98,6,FALSE)</f>
        <v>238.33307528834803</v>
      </c>
      <c r="N98" s="68">
        <v>1882.6287</v>
      </c>
      <c r="O98" s="68">
        <v>43.42</v>
      </c>
      <c r="P98" s="68">
        <v>0</v>
      </c>
      <c r="Q98" s="63">
        <f t="shared" si="67"/>
        <v>6992.7660449367131</v>
      </c>
      <c r="R98" s="63">
        <f>VLOOKUP($E98,'[1]2.จัดสรรหลังSK'!$E$4:$Y$98,11,FALSE)</f>
        <v>65776185.630000003</v>
      </c>
      <c r="S98" s="63">
        <f>VLOOKUP($E98,'[1]2.จัดสรรหลังSK'!$E$4:$Y$98,12,FALSE)</f>
        <v>13121427.460000001</v>
      </c>
      <c r="T98" s="65">
        <f>IF($I$105&lt;&gt;0,ROUND(ROUND(N98*J98,4)*Q98,2),VLOOKUP($E98,'[1]2.จัดสรรหลังSK'!$E$4:$Q$98,13,FALSE))</f>
        <v>15797738.18</v>
      </c>
      <c r="U98" s="63">
        <f>VLOOKUP($E98,'[1]2.จัดสรรหลังSK'!$E$4:$Y$98,14,FALSE)</f>
        <v>416832</v>
      </c>
      <c r="V98" s="63">
        <f>VLOOKUP($E98,'[1]2.จัดสรรหลังSK'!$E$4:$Y$98,15,FALSE)</f>
        <v>0</v>
      </c>
      <c r="W98" s="67">
        <f t="shared" si="70"/>
        <v>95112183.270000011</v>
      </c>
      <c r="X98" s="67">
        <v>47872280</v>
      </c>
      <c r="Y98" s="63">
        <f t="shared" si="71"/>
        <v>47239903.270000003</v>
      </c>
      <c r="Z98" s="69">
        <v>0</v>
      </c>
      <c r="AA98" s="70">
        <f t="shared" si="72"/>
        <v>47239903.270000003</v>
      </c>
      <c r="AB98" s="67">
        <f>VLOOKUP($E98,'[1]2.จัดสรรหลังSK'!$E$4:$Y$98,21,FALSE)</f>
        <v>45321844.409999996</v>
      </c>
      <c r="AC98" s="67">
        <f t="shared" si="73"/>
        <v>1918058.86</v>
      </c>
      <c r="AD98" s="71" t="str">
        <f t="shared" si="74"/>
        <v>ผ่าน</v>
      </c>
      <c r="AE98" s="72"/>
      <c r="AF98" s="67">
        <f t="shared" si="75"/>
        <v>47239903.270000003</v>
      </c>
      <c r="AG98" s="72"/>
      <c r="AH98" s="72"/>
      <c r="AI98" s="67">
        <f t="shared" si="76"/>
        <v>0</v>
      </c>
      <c r="AJ98" s="67">
        <f t="shared" si="77"/>
        <v>47239903.270000003</v>
      </c>
      <c r="AK98" s="67">
        <f t="shared" si="78"/>
        <v>47239903.270000003</v>
      </c>
    </row>
    <row r="99" spans="1:37" ht="14.25" customHeight="1" outlineLevel="2">
      <c r="A99" s="2">
        <v>581</v>
      </c>
      <c r="B99" s="3" t="s">
        <v>6</v>
      </c>
      <c r="C99" s="3" t="s">
        <v>177</v>
      </c>
      <c r="D99" s="3" t="s">
        <v>178</v>
      </c>
      <c r="E99" s="3" t="s">
        <v>193</v>
      </c>
      <c r="F99" s="3" t="s">
        <v>194</v>
      </c>
      <c r="G99" s="3">
        <v>94</v>
      </c>
      <c r="H99" s="63">
        <v>1.1499999999999999</v>
      </c>
      <c r="I99" s="64">
        <v>1.2</v>
      </c>
      <c r="J99" s="65">
        <f t="shared" si="66"/>
        <v>1.2</v>
      </c>
      <c r="K99" s="66">
        <v>53472</v>
      </c>
      <c r="L99" s="67">
        <f>VLOOKUP($E99,'[1]2.จัดสรรหลังSK'!$E$4:$Y$98,5,FALSE)</f>
        <v>1204.8342117369839</v>
      </c>
      <c r="M99" s="67">
        <f>VLOOKUP($E99,'[1]2.จัดสรรหลังSK'!$E$4:$Y$98,6,FALSE)</f>
        <v>240.34754469628965</v>
      </c>
      <c r="N99" s="68">
        <v>3523.2865999999999</v>
      </c>
      <c r="O99" s="68">
        <v>50.103400000000001</v>
      </c>
      <c r="P99" s="68">
        <v>18.575600000000001</v>
      </c>
      <c r="Q99" s="63">
        <f t="shared" si="67"/>
        <v>6992.7660449367131</v>
      </c>
      <c r="R99" s="63">
        <f>VLOOKUP($E99,'[1]2.จัดสรรหลังSK'!$E$4:$Y$98,11,FALSE)</f>
        <v>64424894.969999999</v>
      </c>
      <c r="S99" s="63">
        <f>VLOOKUP($E99,'[1]2.จัดสรรหลังSK'!$E$4:$Y$98,12,FALSE)</f>
        <v>12851863.91</v>
      </c>
      <c r="T99" s="65">
        <f>IF($I$105&lt;&gt;0,ROUND(ROUND(N99*J99,4)*Q99,2),VLOOKUP($E99,'[1]2.จัดสรรหลังSK'!$E$4:$Q$98,13,FALSE))</f>
        <v>29565022.539999999</v>
      </c>
      <c r="U99" s="63">
        <f>VLOOKUP($E99,'[1]2.จัดสรรหลังSK'!$E$4:$Y$98,14,FALSE)</f>
        <v>480992.64</v>
      </c>
      <c r="V99" s="63">
        <f>VLOOKUP($E99,'[1]2.จัดสรรหลังSK'!$E$4:$Y$98,15,FALSE)</f>
        <v>167180.4</v>
      </c>
      <c r="W99" s="67">
        <f t="shared" si="70"/>
        <v>107489954.45999999</v>
      </c>
      <c r="X99" s="67">
        <v>46973208</v>
      </c>
      <c r="Y99" s="63">
        <f t="shared" si="71"/>
        <v>60516746.460000001</v>
      </c>
      <c r="Z99" s="69">
        <v>0</v>
      </c>
      <c r="AA99" s="70">
        <f t="shared" si="72"/>
        <v>60516746.460000001</v>
      </c>
      <c r="AB99" s="67">
        <f>VLOOKUP($E99,'[1]2.จัดสรรหลังSK'!$E$4:$Y$98,21,FALSE)</f>
        <v>58889415.840000004</v>
      </c>
      <c r="AC99" s="67">
        <f t="shared" si="73"/>
        <v>1627330.62</v>
      </c>
      <c r="AD99" s="71" t="str">
        <f t="shared" si="74"/>
        <v>ผ่าน</v>
      </c>
      <c r="AE99" s="72"/>
      <c r="AF99" s="67">
        <f t="shared" si="75"/>
        <v>60516746.460000001</v>
      </c>
      <c r="AG99" s="72"/>
      <c r="AH99" s="72"/>
      <c r="AI99" s="67">
        <f t="shared" si="76"/>
        <v>0</v>
      </c>
      <c r="AJ99" s="67">
        <f t="shared" si="77"/>
        <v>60516746.460000001</v>
      </c>
      <c r="AK99" s="67">
        <f t="shared" si="78"/>
        <v>60516746.460000001</v>
      </c>
    </row>
    <row r="100" spans="1:37" ht="14.25" customHeight="1" outlineLevel="2">
      <c r="A100" s="2">
        <v>582</v>
      </c>
      <c r="B100" s="3" t="s">
        <v>6</v>
      </c>
      <c r="C100" s="3" t="s">
        <v>177</v>
      </c>
      <c r="D100" s="3" t="s">
        <v>178</v>
      </c>
      <c r="E100" s="3" t="s">
        <v>195</v>
      </c>
      <c r="F100" s="3" t="s">
        <v>196</v>
      </c>
      <c r="G100" s="3">
        <v>36</v>
      </c>
      <c r="H100" s="63">
        <v>1.25</v>
      </c>
      <c r="I100" s="64"/>
      <c r="J100" s="65">
        <f t="shared" si="66"/>
        <v>1.25</v>
      </c>
      <c r="K100" s="66">
        <v>37939</v>
      </c>
      <c r="L100" s="67">
        <f>VLOOKUP($E100,'[1]2.จัดสรรหลังSK'!$E$4:$Y$98,5,FALSE)</f>
        <v>1316.8513706212605</v>
      </c>
      <c r="M100" s="67">
        <f>VLOOKUP($E100,'[1]2.จัดสรรหลังSK'!$E$4:$Y$98,6,FALSE)</f>
        <v>262.69339834998289</v>
      </c>
      <c r="N100" s="68">
        <v>1252.1901</v>
      </c>
      <c r="O100" s="68">
        <v>23.865400000000001</v>
      </c>
      <c r="P100" s="68">
        <v>0</v>
      </c>
      <c r="Q100" s="63">
        <f t="shared" si="67"/>
        <v>6992.7660449367131</v>
      </c>
      <c r="R100" s="63">
        <f>VLOOKUP($E100,'[1]2.จัดสรรหลังSK'!$E$4:$Y$98,11,FALSE)</f>
        <v>49960024.149999999</v>
      </c>
      <c r="S100" s="63">
        <f>VLOOKUP($E100,'[1]2.จัดสรรหลังSK'!$E$4:$Y$98,12,FALSE)</f>
        <v>9966324.8399999999</v>
      </c>
      <c r="T100" s="65">
        <f>IF($I$105&lt;&gt;0,ROUND(ROUND(N100*J100,4)*Q100,2),VLOOKUP($E100,'[1]2.จัดสรรหลังSK'!$E$4:$Q$98,13,FALSE))</f>
        <v>10945340.34</v>
      </c>
      <c r="U100" s="63">
        <f>VLOOKUP($E100,'[1]2.จัดสรรหลังSK'!$E$4:$Y$98,14,FALSE)</f>
        <v>229107.84</v>
      </c>
      <c r="V100" s="63">
        <f>VLOOKUP($E100,'[1]2.จัดสรรหลังSK'!$E$4:$Y$98,15,FALSE)</f>
        <v>0</v>
      </c>
      <c r="W100" s="67">
        <f t="shared" si="70"/>
        <v>71100797.170000002</v>
      </c>
      <c r="X100" s="67">
        <v>29625274</v>
      </c>
      <c r="Y100" s="63">
        <f t="shared" si="71"/>
        <v>41475523.170000002</v>
      </c>
      <c r="Z100" s="69">
        <v>0</v>
      </c>
      <c r="AA100" s="70">
        <f t="shared" si="72"/>
        <v>41475523.170000002</v>
      </c>
      <c r="AB100" s="67">
        <f>VLOOKUP($E100,'[1]2.จัดสรรหลังSK'!$E$4:$Y$98,21,FALSE)</f>
        <v>34706158.960000001</v>
      </c>
      <c r="AC100" s="67">
        <f t="shared" si="73"/>
        <v>6769364.21</v>
      </c>
      <c r="AD100" s="71" t="str">
        <f t="shared" si="74"/>
        <v>ผ่าน</v>
      </c>
      <c r="AE100" s="72"/>
      <c r="AF100" s="67">
        <f t="shared" si="75"/>
        <v>41475523.170000002</v>
      </c>
      <c r="AG100" s="72"/>
      <c r="AH100" s="72"/>
      <c r="AI100" s="67">
        <f t="shared" si="76"/>
        <v>0</v>
      </c>
      <c r="AJ100" s="67">
        <f t="shared" si="77"/>
        <v>41475523.170000002</v>
      </c>
      <c r="AK100" s="67">
        <f t="shared" si="78"/>
        <v>41475523.170000002</v>
      </c>
    </row>
    <row r="101" spans="1:37" ht="14.25" customHeight="1" outlineLevel="2">
      <c r="A101" s="2">
        <v>583</v>
      </c>
      <c r="B101" s="3" t="s">
        <v>6</v>
      </c>
      <c r="C101" s="3" t="s">
        <v>177</v>
      </c>
      <c r="D101" s="3" t="s">
        <v>178</v>
      </c>
      <c r="E101" s="3" t="s">
        <v>197</v>
      </c>
      <c r="F101" s="3" t="s">
        <v>198</v>
      </c>
      <c r="G101" s="3">
        <v>36</v>
      </c>
      <c r="H101" s="63">
        <v>1.2</v>
      </c>
      <c r="I101" s="64"/>
      <c r="J101" s="65">
        <f t="shared" si="66"/>
        <v>1.2</v>
      </c>
      <c r="K101" s="66">
        <v>43480</v>
      </c>
      <c r="L101" s="67">
        <f>VLOOKUP($E101,'[1]2.จัดสรรหลังSK'!$E$4:$Y$98,5,FALSE)</f>
        <v>1272.7436775528979</v>
      </c>
      <c r="M101" s="67">
        <f>VLOOKUP($E101,'[1]2.จัดสรรหลังSK'!$E$4:$Y$98,6,FALSE)</f>
        <v>253.89453150873965</v>
      </c>
      <c r="N101" s="68">
        <v>1714.7805000000001</v>
      </c>
      <c r="O101" s="68">
        <v>23.7532</v>
      </c>
      <c r="P101" s="68">
        <v>0</v>
      </c>
      <c r="Q101" s="63">
        <f t="shared" si="67"/>
        <v>6992.7660449367131</v>
      </c>
      <c r="R101" s="63">
        <f>VLOOKUP($E101,'[1]2.จัดสรรหลังSK'!$E$4:$Y$98,11,FALSE)</f>
        <v>55338895.100000001</v>
      </c>
      <c r="S101" s="63">
        <f>VLOOKUP($E101,'[1]2.จัดสรรหลังSK'!$E$4:$Y$98,12,FALSE)</f>
        <v>11039334.23</v>
      </c>
      <c r="T101" s="65">
        <f>IF($I$105&lt;&gt;0,ROUND(ROUND(N101*J101,4)*Q101,2),VLOOKUP($E101,'[1]2.จัดสรรหลังSK'!$E$4:$Q$98,13,FALSE))</f>
        <v>14389270.630000001</v>
      </c>
      <c r="U101" s="63">
        <f>VLOOKUP($E101,'[1]2.จัดสรรหลังSK'!$E$4:$Y$98,14,FALSE)</f>
        <v>228030.72</v>
      </c>
      <c r="V101" s="63">
        <f>VLOOKUP($E101,'[1]2.จัดสรรหลังSK'!$E$4:$Y$98,15,FALSE)</f>
        <v>0</v>
      </c>
      <c r="W101" s="67">
        <f t="shared" si="70"/>
        <v>80995530.679999992</v>
      </c>
      <c r="X101" s="67">
        <v>32164344</v>
      </c>
      <c r="Y101" s="63">
        <f t="shared" si="71"/>
        <v>48831186.68</v>
      </c>
      <c r="Z101" s="69">
        <v>0</v>
      </c>
      <c r="AA101" s="70">
        <f t="shared" si="72"/>
        <v>48831186.68</v>
      </c>
      <c r="AB101" s="67">
        <f>VLOOKUP($E101,'[1]2.จัดสรรหลังSK'!$E$4:$Y$98,21,FALSE)</f>
        <v>43365508.409999996</v>
      </c>
      <c r="AC101" s="67">
        <f t="shared" si="73"/>
        <v>5465678.2699999996</v>
      </c>
      <c r="AD101" s="71" t="str">
        <f t="shared" si="74"/>
        <v>ผ่าน</v>
      </c>
      <c r="AE101" s="72"/>
      <c r="AF101" s="67">
        <f t="shared" si="75"/>
        <v>48831186.68</v>
      </c>
      <c r="AG101" s="72"/>
      <c r="AH101" s="72"/>
      <c r="AI101" s="67">
        <f t="shared" si="76"/>
        <v>0</v>
      </c>
      <c r="AJ101" s="67">
        <f t="shared" si="77"/>
        <v>48831186.68</v>
      </c>
      <c r="AK101" s="67">
        <f t="shared" si="78"/>
        <v>48831186.68</v>
      </c>
    </row>
    <row r="102" spans="1:37" ht="14.25" customHeight="1" outlineLevel="2">
      <c r="A102" s="2">
        <v>584</v>
      </c>
      <c r="B102" s="3" t="s">
        <v>6</v>
      </c>
      <c r="C102" s="3" t="s">
        <v>177</v>
      </c>
      <c r="D102" s="3" t="s">
        <v>178</v>
      </c>
      <c r="E102" s="3" t="s">
        <v>199</v>
      </c>
      <c r="F102" s="3" t="s">
        <v>200</v>
      </c>
      <c r="G102" s="3">
        <v>123</v>
      </c>
      <c r="H102" s="63">
        <v>1.1000000000000001</v>
      </c>
      <c r="I102" s="64">
        <v>1.1499999999999999</v>
      </c>
      <c r="J102" s="65">
        <f t="shared" si="66"/>
        <v>1.1499999999999999</v>
      </c>
      <c r="K102" s="66">
        <v>61230</v>
      </c>
      <c r="L102" s="67">
        <f>VLOOKUP($E102,'[1]2.จัดสรรหลังSK'!$E$4:$Y$98,5,FALSE)</f>
        <v>1159.4778848603626</v>
      </c>
      <c r="M102" s="67">
        <f>VLOOKUP($E102,'[1]2.จัดสรรหลังSK'!$E$4:$Y$98,6,FALSE)</f>
        <v>231.29959300996245</v>
      </c>
      <c r="N102" s="68">
        <v>5172.192</v>
      </c>
      <c r="O102" s="68">
        <v>122.5997</v>
      </c>
      <c r="P102" s="68">
        <v>49.337800000000001</v>
      </c>
      <c r="Q102" s="63">
        <f t="shared" si="67"/>
        <v>6992.7660449367131</v>
      </c>
      <c r="R102" s="63">
        <f>VLOOKUP($E102,'[1]2.จัดสรรหลังSK'!$E$4:$Y$98,11,FALSE)</f>
        <v>70994830.890000001</v>
      </c>
      <c r="S102" s="63">
        <f>VLOOKUP($E102,'[1]2.จัดสรรหลังSK'!$E$4:$Y$98,12,FALSE)</f>
        <v>14162474.08</v>
      </c>
      <c r="T102" s="65">
        <f>IF($I$105&lt;&gt;0,ROUND(ROUND(N102*J102,4)*Q102,2),VLOOKUP($E102,'[1]2.จัดสรรหลังSK'!$E$4:$Q$98,13,FALSE))</f>
        <v>41593117.880000003</v>
      </c>
      <c r="U102" s="63">
        <f>VLOOKUP($E102,'[1]2.จัดสรรหลังSK'!$E$4:$Y$98,14,FALSE)</f>
        <v>1176957.1200000001</v>
      </c>
      <c r="V102" s="63">
        <f>VLOOKUP($E102,'[1]2.จัดสรรหลังSK'!$E$4:$Y$98,15,FALSE)</f>
        <v>444040.2</v>
      </c>
      <c r="W102" s="67">
        <f t="shared" si="70"/>
        <v>128371420.17</v>
      </c>
      <c r="X102" s="67">
        <v>74630784</v>
      </c>
      <c r="Y102" s="63">
        <f t="shared" si="71"/>
        <v>53740636.170000002</v>
      </c>
      <c r="Z102" s="69">
        <v>0</v>
      </c>
      <c r="AA102" s="70">
        <f t="shared" si="72"/>
        <v>53740636.170000002</v>
      </c>
      <c r="AB102" s="67">
        <f>VLOOKUP($E102,'[1]2.จัดสรรหลังSK'!$E$4:$Y$98,21,FALSE)</f>
        <v>51586167.869999997</v>
      </c>
      <c r="AC102" s="67">
        <f t="shared" si="73"/>
        <v>2154468.2999999998</v>
      </c>
      <c r="AD102" s="71" t="str">
        <f t="shared" si="74"/>
        <v>ผ่าน</v>
      </c>
      <c r="AE102" s="72"/>
      <c r="AF102" s="67">
        <f t="shared" si="75"/>
        <v>53740636.170000002</v>
      </c>
      <c r="AG102" s="72"/>
      <c r="AH102" s="72"/>
      <c r="AI102" s="67">
        <f t="shared" si="76"/>
        <v>0</v>
      </c>
      <c r="AJ102" s="67">
        <f t="shared" si="77"/>
        <v>53740636.170000002</v>
      </c>
      <c r="AK102" s="67">
        <f t="shared" si="78"/>
        <v>53740636.170000002</v>
      </c>
    </row>
    <row r="103" spans="1:37" ht="14.25" customHeight="1" outlineLevel="2">
      <c r="A103" s="2">
        <v>585</v>
      </c>
      <c r="B103" s="3" t="s">
        <v>6</v>
      </c>
      <c r="C103" s="3" t="s">
        <v>177</v>
      </c>
      <c r="D103" s="3" t="s">
        <v>178</v>
      </c>
      <c r="E103" s="3" t="s">
        <v>201</v>
      </c>
      <c r="F103" s="3" t="s">
        <v>202</v>
      </c>
      <c r="G103" s="3">
        <v>25</v>
      </c>
      <c r="H103" s="63">
        <v>1.35</v>
      </c>
      <c r="I103" s="64"/>
      <c r="J103" s="65">
        <f t="shared" si="66"/>
        <v>1.35</v>
      </c>
      <c r="K103" s="66">
        <v>11548</v>
      </c>
      <c r="L103" s="67">
        <f>VLOOKUP($E103,'[1]2.จัดสรรหลังSK'!$E$4:$Y$98,5,FALSE)</f>
        <v>1587.5618643921025</v>
      </c>
      <c r="M103" s="67">
        <f>VLOOKUP($E103,'[1]2.จัดสรรหลังSK'!$E$4:$Y$98,6,FALSE)</f>
        <v>316.69634915136822</v>
      </c>
      <c r="N103" s="68">
        <v>624.44299999999998</v>
      </c>
      <c r="O103" s="68">
        <v>7.3780999999999999</v>
      </c>
      <c r="P103" s="68">
        <v>0</v>
      </c>
      <c r="Q103" s="63">
        <f t="shared" si="67"/>
        <v>6992.7660449367131</v>
      </c>
      <c r="R103" s="63">
        <f>VLOOKUP($E103,'[1]2.จัดสรรหลังSK'!$E$4:$Y$98,11,FALSE)</f>
        <v>18333164.41</v>
      </c>
      <c r="S103" s="63">
        <f>VLOOKUP($E103,'[1]2.จัดสรรหลังSK'!$E$4:$Y$98,12,FALSE)</f>
        <v>3657209.44</v>
      </c>
      <c r="T103" s="65">
        <f>IF($I$105&lt;&gt;0,ROUND(ROUND(N103*J103,4)*Q103,2),VLOOKUP($E103,'[1]2.จัดสรรหลังSK'!$E$4:$Q$98,13,FALSE))</f>
        <v>5894888.4900000002</v>
      </c>
      <c r="U103" s="63">
        <f>VLOOKUP($E103,'[1]2.จัดสรรหลังSK'!$E$4:$Y$98,14,FALSE)</f>
        <v>70829.759999999995</v>
      </c>
      <c r="V103" s="63">
        <f>VLOOKUP($E103,'[1]2.จัดสรรหลังSK'!$E$4:$Y$98,15,FALSE)</f>
        <v>0</v>
      </c>
      <c r="W103" s="67">
        <f t="shared" si="70"/>
        <v>27956092.100000005</v>
      </c>
      <c r="X103" s="67">
        <v>13693135</v>
      </c>
      <c r="Y103" s="63">
        <f t="shared" si="71"/>
        <v>14262957.1</v>
      </c>
      <c r="Z103" s="69">
        <v>0</v>
      </c>
      <c r="AA103" s="70">
        <f t="shared" si="72"/>
        <v>14262957.1</v>
      </c>
      <c r="AB103" s="67">
        <f>VLOOKUP($E103,'[1]2.จัดสรรหลังSK'!$E$4:$Y$98,21,FALSE)</f>
        <v>13857553.119999999</v>
      </c>
      <c r="AC103" s="67">
        <f t="shared" si="73"/>
        <v>405403.98</v>
      </c>
      <c r="AD103" s="71" t="str">
        <f t="shared" si="74"/>
        <v>ผ่าน</v>
      </c>
      <c r="AE103" s="72"/>
      <c r="AF103" s="67">
        <f t="shared" si="75"/>
        <v>14262957.1</v>
      </c>
      <c r="AG103" s="72"/>
      <c r="AH103" s="72"/>
      <c r="AI103" s="67">
        <f t="shared" si="76"/>
        <v>0</v>
      </c>
      <c r="AJ103" s="67">
        <f t="shared" si="77"/>
        <v>14262957.1</v>
      </c>
      <c r="AK103" s="67">
        <f t="shared" si="78"/>
        <v>14262957.1</v>
      </c>
    </row>
    <row r="104" spans="1:37" ht="14.25" customHeight="1" outlineLevel="1">
      <c r="A104" s="4"/>
      <c r="B104" s="5"/>
      <c r="C104" s="73"/>
      <c r="D104" s="6" t="s">
        <v>203</v>
      </c>
      <c r="E104" s="5"/>
      <c r="F104" s="5"/>
      <c r="G104" s="5"/>
      <c r="H104" s="74"/>
      <c r="I104" s="75"/>
      <c r="J104" s="76"/>
      <c r="K104" s="77">
        <f>SUBTOTAL(9,K92:K103)</f>
        <v>534396</v>
      </c>
      <c r="L104" s="78"/>
      <c r="M104" s="78"/>
      <c r="N104" s="79">
        <f t="shared" ref="N104:AC104" si="79">SUBTOTAL(9,N92:N103)</f>
        <v>45580.083400000003</v>
      </c>
      <c r="O104" s="79">
        <f t="shared" si="79"/>
        <v>1057.6723</v>
      </c>
      <c r="P104" s="79">
        <f t="shared" si="79"/>
        <v>781.97170000000006</v>
      </c>
      <c r="Q104" s="74"/>
      <c r="R104" s="74">
        <f t="shared" si="79"/>
        <v>652468604.05999994</v>
      </c>
      <c r="S104" s="74">
        <f t="shared" si="79"/>
        <v>130158344.97</v>
      </c>
      <c r="T104" s="76">
        <f t="shared" si="79"/>
        <v>366265495.06000006</v>
      </c>
      <c r="U104" s="74">
        <f t="shared" si="79"/>
        <v>10153654.08</v>
      </c>
      <c r="V104" s="74">
        <f t="shared" si="79"/>
        <v>7037745.3000000007</v>
      </c>
      <c r="W104" s="78">
        <f t="shared" si="79"/>
        <v>1166083843.4699998</v>
      </c>
      <c r="X104" s="78">
        <f t="shared" si="79"/>
        <v>602402191</v>
      </c>
      <c r="Y104" s="74">
        <f t="shared" si="79"/>
        <v>563681652.47000003</v>
      </c>
      <c r="Z104" s="74">
        <f t="shared" si="79"/>
        <v>247484.82</v>
      </c>
      <c r="AA104" s="80">
        <f t="shared" si="79"/>
        <v>563929137.28999996</v>
      </c>
      <c r="AB104" s="78">
        <f t="shared" si="79"/>
        <v>519694337.82000005</v>
      </c>
      <c r="AC104" s="78">
        <f t="shared" si="79"/>
        <v>44234799.469999991</v>
      </c>
      <c r="AD104" s="81"/>
      <c r="AE104" s="82">
        <f t="shared" ref="AE104:AK104" si="80">SUBTOTAL(9,AE92:AE103)</f>
        <v>0</v>
      </c>
      <c r="AF104" s="78">
        <f t="shared" si="80"/>
        <v>563929137.28999996</v>
      </c>
      <c r="AG104" s="82">
        <f t="shared" si="80"/>
        <v>0</v>
      </c>
      <c r="AH104" s="82">
        <f t="shared" si="80"/>
        <v>0</v>
      </c>
      <c r="AI104" s="78">
        <f t="shared" si="80"/>
        <v>0</v>
      </c>
      <c r="AJ104" s="78">
        <f t="shared" si="80"/>
        <v>563929137.28999996</v>
      </c>
      <c r="AK104" s="78">
        <f t="shared" si="80"/>
        <v>563929137.28999996</v>
      </c>
    </row>
    <row r="105" spans="1:37">
      <c r="A105" s="7"/>
      <c r="B105" s="8"/>
      <c r="D105" s="9" t="s">
        <v>204</v>
      </c>
      <c r="E105" s="8"/>
      <c r="F105" s="8"/>
      <c r="G105" s="8"/>
      <c r="H105" s="83"/>
      <c r="I105" s="84">
        <f>SUBTOTAL(9,I10:I104)</f>
        <v>23.599999999999994</v>
      </c>
      <c r="J105" s="84"/>
      <c r="K105" s="84">
        <f>SUBTOTAL(9,K10:K104)</f>
        <v>4134905</v>
      </c>
      <c r="L105" s="20"/>
      <c r="M105" s="20"/>
      <c r="N105" s="85">
        <f t="shared" ref="N105:AC105" si="81">SUBTOTAL(9,N10:N104)</f>
        <v>528208.60629999998</v>
      </c>
      <c r="O105" s="85">
        <f t="shared" si="81"/>
        <v>12180.969800000003</v>
      </c>
      <c r="P105" s="85">
        <f t="shared" si="81"/>
        <v>13478.278899999999</v>
      </c>
      <c r="Q105" s="83"/>
      <c r="R105" s="83">
        <f t="shared" si="81"/>
        <v>4964728570.8400002</v>
      </c>
      <c r="S105" s="83">
        <f t="shared" si="81"/>
        <v>980183695.65999985</v>
      </c>
      <c r="T105" s="86">
        <f t="shared" si="81"/>
        <v>4106342938.099999</v>
      </c>
      <c r="U105" s="83">
        <f t="shared" si="81"/>
        <v>116937310.07999997</v>
      </c>
      <c r="V105" s="83">
        <f t="shared" si="81"/>
        <v>121304510.10000002</v>
      </c>
      <c r="W105" s="20">
        <f t="shared" si="81"/>
        <v>10289497024.779997</v>
      </c>
      <c r="X105" s="20">
        <f t="shared" si="81"/>
        <v>4459403341</v>
      </c>
      <c r="Y105" s="83">
        <f t="shared" si="81"/>
        <v>5830093683.7800026</v>
      </c>
      <c r="Z105" s="83">
        <f t="shared" si="81"/>
        <v>89502913.969999999</v>
      </c>
      <c r="AA105" s="87">
        <f t="shared" si="81"/>
        <v>5919596597.750001</v>
      </c>
      <c r="AB105" s="20">
        <f t="shared" si="81"/>
        <v>5448385774.4999981</v>
      </c>
      <c r="AC105" s="20">
        <f t="shared" si="81"/>
        <v>471210823.25000024</v>
      </c>
      <c r="AD105" s="88"/>
      <c r="AE105" s="89">
        <f t="shared" ref="AE105:AK105" si="82">SUBTOTAL(9,AE10:AE104)</f>
        <v>0</v>
      </c>
      <c r="AF105" s="20">
        <f t="shared" si="82"/>
        <v>5919596597.750001</v>
      </c>
      <c r="AG105" s="89">
        <f t="shared" si="82"/>
        <v>0</v>
      </c>
      <c r="AH105" s="89">
        <f t="shared" si="82"/>
        <v>0</v>
      </c>
      <c r="AI105" s="20">
        <f t="shared" si="82"/>
        <v>0</v>
      </c>
      <c r="AJ105" s="20">
        <f t="shared" si="82"/>
        <v>5919596597.750001</v>
      </c>
      <c r="AK105" s="20">
        <f t="shared" si="82"/>
        <v>5919596597.750001</v>
      </c>
    </row>
    <row r="106" spans="1:37">
      <c r="Z106" s="90"/>
      <c r="AB106" s="90"/>
    </row>
  </sheetData>
  <autoFilter ref="A9:AK104" xr:uid="{0EDE4151-77AF-4141-9875-14149F83CA8C}"/>
  <mergeCells count="5">
    <mergeCell ref="AB5:AD7"/>
    <mergeCell ref="AG5:AI7"/>
    <mergeCell ref="AJ5:AK7"/>
    <mergeCell ref="H8:J8"/>
    <mergeCell ref="G8:G9"/>
  </mergeCells>
  <conditionalFormatting sqref="AD10:AD105">
    <cfRule type="cellIs" dxfId="4" priority="5" operator="equal">
      <formula>"ผ่าน"</formula>
    </cfRule>
  </conditionalFormatting>
  <conditionalFormatting sqref="AD10:AD105">
    <cfRule type="containsText" dxfId="3" priority="1" operator="containsText" text="ไม่ผ่าน">
      <formula>NOT(ISERROR(SEARCH("ไม่ผ่าน",AD10)))</formula>
    </cfRule>
    <cfRule type="containsText" dxfId="2" priority="2" operator="containsText" text="ผ่าน">
      <formula>NOT(ISERROR(SEARCH("ผ่าน",AD10)))</formula>
    </cfRule>
    <cfRule type="containsText" dxfId="1" priority="3" operator="containsText" text="ไม่ผ่าน">
      <formula>NOT(ISERROR(SEARCH("ไม่ผ่าน",AD10)))</formula>
    </cfRule>
    <cfRule type="containsText" dxfId="0" priority="4" operator="containsText" text="ผ่าน">
      <formula>NOT(ISERROR(SEARCH("ผ่าน",AD10)))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1เงินกันระดับเขต</vt:lpstr>
      <vt:lpstr>2งบปรับเกลี่ยเงินกันระดับเขต8</vt:lpstr>
      <vt:lpstr>3เพิ่มค่า K</vt:lpstr>
      <vt:lpstr>4สรุปช่วยK</vt:lpstr>
      <vt:lpstr>5SheetคำนวณK</vt:lpstr>
      <vt:lpstr>'4สรุปช่วยK'!Print_Titles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SWIFT</dc:creator>
  <cp:lastModifiedBy>SWIFT</cp:lastModifiedBy>
  <cp:lastPrinted>2021-09-22T15:27:23Z</cp:lastPrinted>
  <dcterms:created xsi:type="dcterms:W3CDTF">2021-09-14T06:50:09Z</dcterms:created>
  <dcterms:modified xsi:type="dcterms:W3CDTF">2021-09-22T15:27:56Z</dcterms:modified>
</cp:coreProperties>
</file>