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UNGTHIP2019\RUNGTHIP65\UCปี65\"/>
    </mc:Choice>
  </mc:AlternateContent>
  <xr:revisionPtr revIDLastSave="0" documentId="13_ncr:1_{222E6EFA-7B47-4D23-B61B-041BA0167D58}" xr6:coauthVersionLast="47" xr6:coauthVersionMax="47" xr10:uidLastSave="{00000000-0000-0000-0000-000000000000}"/>
  <workbookProtection workbookAlgorithmName="SHA-512" workbookHashValue="CcGzcb9lsjd6rCP4yRex7aMwdTgUO/a/l631DYkkm8BwBDEi2hd4AUoFT8grvyj7x1sLk4HajPOuKX4UQzHwXg==" workbookSaltValue="QB7gB7Kk0efoXNwvWOcTLA==" workbookSpinCount="100000" lockStructure="1"/>
  <bookViews>
    <workbookView xWindow="-110" yWindow="-110" windowWidth="19420" windowHeight="10420" tabRatio="856" activeTab="4" xr2:uid="{15B66518-4BD8-434C-99F8-E361BD175135}"/>
  </bookViews>
  <sheets>
    <sheet name="Readme" sheetId="1" r:id="rId1"/>
    <sheet name="1.จัดสรรก่อนSK" sheetId="4" r:id="rId2"/>
    <sheet name="2.จัดสรรหลังSK" sheetId="5" r:id="rId3"/>
    <sheet name="3.สรุปวงเงินเขต" sheetId="6" r:id="rId4"/>
    <sheet name="4.เขตปรับKและเกลี่ยเงินเพิ่มฯ" sheetId="7" r:id="rId5"/>
    <sheet name="5.ปรับเกลี่ย PP NonUC" sheetId="8" r:id="rId6"/>
    <sheet name="6.Printผลการปรับเกลี่ยส่ง" sheetId="11" r:id="rId7"/>
  </sheets>
  <externalReferences>
    <externalReference r:id="rId8"/>
    <externalReference r:id="rId9"/>
  </externalReferences>
  <definedNames>
    <definedName name="_xlnm._FilterDatabase" localSheetId="1" hidden="1">'1.จัดสรรก่อนSK'!$A$3:$S$98</definedName>
    <definedName name="_xlnm._FilterDatabase" localSheetId="2" hidden="1">'2.จัดสรรหลังSK'!$A$3:$Y$98</definedName>
    <definedName name="_xlnm._FilterDatabase" localSheetId="4" hidden="1">'4.เขตปรับKและเกลี่ยเงินเพิ่มฯ'!$A$9:$AJ$104</definedName>
    <definedName name="_xlnm._FilterDatabase" localSheetId="5" hidden="1">'5.ปรับเกลี่ย PP NonUC'!$A$2:$H$105</definedName>
    <definedName name="_xlnm._FilterDatabase" localSheetId="6" hidden="1">'6.Printผลการปรับเกลี่ยส่ง'!$A$4:$R$99</definedName>
    <definedName name="_q06">#REF!</definedName>
    <definedName name="_xlnm.Print_Titles" localSheetId="2">'2.จัดสรรหลังSK'!$1:$3</definedName>
    <definedName name="_xlnm.Print_Titles" localSheetId="5">'5.ปรับเกลี่ย PP NonUC'!$2:$2</definedName>
    <definedName name="_xlnm.Print_Titles" localSheetId="6">'6.Printผลการปรับเกลี่ยส่ง'!$3:$4</definedName>
    <definedName name="q_รหัสหลัก51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รพศ_รพท_รพช_มีอำเภอรับผิดชอบ">#REF!</definedName>
    <definedName name="q05_หน่วยงานย่อย">#REF!</definedName>
    <definedName name="q06_รพ">#REF!</definedName>
    <definedName name="q07_สสอ">#REF!</definedName>
    <definedName name="q07_สสอ1">#REF!</definedName>
    <definedName name="q08_รพสตหน่วยงานย่อย">#REF!</definedName>
    <definedName name="q08_รพสตหน่วยงานย่อย1">#REF!</definedName>
    <definedName name="q1_รพ877">#REF!</definedName>
    <definedName name="q11_สสจ_มีเขตรหัสพื้นที่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4_รพสต97631">#REF!</definedName>
    <definedName name="q2_รพ883">#REF!</definedName>
    <definedName name="Query1">#REF!</definedName>
    <definedName name="SAPBEXsysID" hidden="1">"BWP"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workload">#REF!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6" i="7" l="1"/>
  <c r="Y5" i="7"/>
  <c r="AE5" i="7"/>
  <c r="G106" i="8"/>
  <c r="Y7" i="7" l="1"/>
  <c r="H105" i="8"/>
  <c r="H91" i="8"/>
  <c r="H71" i="8"/>
  <c r="H60" i="8"/>
  <c r="H44" i="8"/>
  <c r="H19" i="8"/>
  <c r="H11" i="8"/>
  <c r="H106" i="8" l="1"/>
  <c r="Y104" i="7" l="1"/>
  <c r="Y91" i="7"/>
  <c r="Y72" i="7"/>
  <c r="Y62" i="7"/>
  <c r="Y47" i="7"/>
  <c r="Y25" i="7"/>
  <c r="Y18" i="7"/>
  <c r="Y105" i="7" l="1"/>
  <c r="K5" i="11"/>
  <c r="M5" i="11"/>
  <c r="Q5" i="11"/>
  <c r="K6" i="11"/>
  <c r="M6" i="11"/>
  <c r="Q6" i="11"/>
  <c r="K7" i="11"/>
  <c r="M7" i="11"/>
  <c r="Q7" i="11"/>
  <c r="K8" i="11"/>
  <c r="M8" i="11"/>
  <c r="Q8" i="11"/>
  <c r="K9" i="11"/>
  <c r="M9" i="11"/>
  <c r="Q9" i="11"/>
  <c r="K10" i="11"/>
  <c r="M10" i="11"/>
  <c r="Q10" i="11"/>
  <c r="K11" i="11"/>
  <c r="M11" i="11"/>
  <c r="Q11" i="11"/>
  <c r="K12" i="11"/>
  <c r="M12" i="11"/>
  <c r="Q12" i="11"/>
  <c r="K14" i="11"/>
  <c r="M14" i="11"/>
  <c r="Q14" i="11"/>
  <c r="K15" i="11"/>
  <c r="M15" i="11"/>
  <c r="Q15" i="11"/>
  <c r="K16" i="11"/>
  <c r="M16" i="11"/>
  <c r="Q16" i="11"/>
  <c r="K17" i="11"/>
  <c r="M17" i="11"/>
  <c r="Q17" i="11"/>
  <c r="K18" i="11"/>
  <c r="M18" i="11"/>
  <c r="Q18" i="11"/>
  <c r="K19" i="11"/>
  <c r="M19" i="11"/>
  <c r="Q19" i="11"/>
  <c r="K21" i="11"/>
  <c r="M21" i="11"/>
  <c r="Q21" i="11"/>
  <c r="K22" i="11"/>
  <c r="M22" i="11"/>
  <c r="Q22" i="11"/>
  <c r="K23" i="11"/>
  <c r="M23" i="11"/>
  <c r="Q23" i="11"/>
  <c r="K24" i="11"/>
  <c r="M24" i="11"/>
  <c r="Q24" i="11"/>
  <c r="K25" i="11"/>
  <c r="M25" i="11"/>
  <c r="Q25" i="11"/>
  <c r="K26" i="11"/>
  <c r="M26" i="11"/>
  <c r="Q26" i="11"/>
  <c r="K27" i="11"/>
  <c r="M27" i="11"/>
  <c r="Q27" i="11"/>
  <c r="K28" i="11"/>
  <c r="M28" i="11"/>
  <c r="Q28" i="11"/>
  <c r="K29" i="11"/>
  <c r="M29" i="11"/>
  <c r="Q29" i="11"/>
  <c r="K30" i="11"/>
  <c r="M30" i="11"/>
  <c r="Q30" i="11"/>
  <c r="K31" i="11"/>
  <c r="M31" i="11"/>
  <c r="Q31" i="11"/>
  <c r="K32" i="11"/>
  <c r="M32" i="11"/>
  <c r="Q32" i="11"/>
  <c r="K33" i="11"/>
  <c r="M33" i="11"/>
  <c r="Q33" i="11"/>
  <c r="K34" i="11"/>
  <c r="M34" i="11"/>
  <c r="Q34" i="11"/>
  <c r="K35" i="11"/>
  <c r="M35" i="11"/>
  <c r="Q35" i="11"/>
  <c r="K36" i="11"/>
  <c r="M36" i="11"/>
  <c r="Q36" i="11"/>
  <c r="K37" i="11"/>
  <c r="M37" i="11"/>
  <c r="Q37" i="11"/>
  <c r="K38" i="11"/>
  <c r="M38" i="11"/>
  <c r="Q38" i="11"/>
  <c r="K39" i="11"/>
  <c r="M39" i="11"/>
  <c r="Q39" i="11"/>
  <c r="K40" i="11"/>
  <c r="M40" i="11"/>
  <c r="Q40" i="11"/>
  <c r="K41" i="11"/>
  <c r="M41" i="11"/>
  <c r="Q41" i="11"/>
  <c r="K43" i="11"/>
  <c r="M43" i="11"/>
  <c r="Q43" i="11"/>
  <c r="K44" i="11"/>
  <c r="M44" i="11"/>
  <c r="Q44" i="11"/>
  <c r="K45" i="11"/>
  <c r="M45" i="11"/>
  <c r="Q45" i="11"/>
  <c r="K46" i="11"/>
  <c r="M46" i="11"/>
  <c r="Q46" i="11"/>
  <c r="K47" i="11"/>
  <c r="M47" i="11"/>
  <c r="Q47" i="11"/>
  <c r="K48" i="11"/>
  <c r="M48" i="11"/>
  <c r="Q48" i="11"/>
  <c r="K49" i="11"/>
  <c r="M49" i="11"/>
  <c r="Q49" i="11"/>
  <c r="K50" i="11"/>
  <c r="M50" i="11"/>
  <c r="Q50" i="11"/>
  <c r="K51" i="11"/>
  <c r="M51" i="11"/>
  <c r="Q51" i="11"/>
  <c r="K52" i="11"/>
  <c r="M52" i="11"/>
  <c r="Q52" i="11"/>
  <c r="K53" i="11"/>
  <c r="M53" i="11"/>
  <c r="Q53" i="11"/>
  <c r="K54" i="11"/>
  <c r="M54" i="11"/>
  <c r="Q54" i="11"/>
  <c r="K55" i="11"/>
  <c r="M55" i="11"/>
  <c r="Q55" i="11"/>
  <c r="K56" i="11"/>
  <c r="M56" i="11"/>
  <c r="Q56" i="11"/>
  <c r="K58" i="11"/>
  <c r="M58" i="11"/>
  <c r="Q58" i="11"/>
  <c r="K59" i="11"/>
  <c r="M59" i="11"/>
  <c r="Q59" i="11"/>
  <c r="K60" i="11"/>
  <c r="M60" i="11"/>
  <c r="Q60" i="11"/>
  <c r="K61" i="11"/>
  <c r="M61" i="11"/>
  <c r="Q61" i="11"/>
  <c r="K62" i="11"/>
  <c r="M62" i="11"/>
  <c r="Q62" i="11"/>
  <c r="K63" i="11"/>
  <c r="M63" i="11"/>
  <c r="Q63" i="11"/>
  <c r="K64" i="11"/>
  <c r="M64" i="11"/>
  <c r="Q64" i="11"/>
  <c r="K65" i="11"/>
  <c r="M65" i="11"/>
  <c r="Q65" i="11"/>
  <c r="K66" i="11"/>
  <c r="M66" i="11"/>
  <c r="Q66" i="11"/>
  <c r="K68" i="11"/>
  <c r="M68" i="11"/>
  <c r="Q68" i="11"/>
  <c r="K69" i="11"/>
  <c r="M69" i="11"/>
  <c r="Q69" i="11"/>
  <c r="K70" i="11"/>
  <c r="M70" i="11"/>
  <c r="Q70" i="11"/>
  <c r="K71" i="11"/>
  <c r="M71" i="11"/>
  <c r="Q71" i="11"/>
  <c r="K72" i="11"/>
  <c r="M72" i="11"/>
  <c r="Q72" i="11"/>
  <c r="K73" i="11"/>
  <c r="M73" i="11"/>
  <c r="Q73" i="11"/>
  <c r="K74" i="11"/>
  <c r="M74" i="11"/>
  <c r="Q74" i="11"/>
  <c r="K75" i="11"/>
  <c r="M75" i="11"/>
  <c r="Q75" i="11"/>
  <c r="K76" i="11"/>
  <c r="M76" i="11"/>
  <c r="Q76" i="11"/>
  <c r="K77" i="11"/>
  <c r="M77" i="11"/>
  <c r="Q77" i="11"/>
  <c r="K78" i="11"/>
  <c r="M78" i="11"/>
  <c r="Q78" i="11"/>
  <c r="K79" i="11"/>
  <c r="M79" i="11"/>
  <c r="Q79" i="11"/>
  <c r="K80" i="11"/>
  <c r="M80" i="11"/>
  <c r="Q80" i="11"/>
  <c r="K81" i="11"/>
  <c r="M81" i="11"/>
  <c r="Q81" i="11"/>
  <c r="K82" i="11"/>
  <c r="M82" i="11"/>
  <c r="Q82" i="11"/>
  <c r="K83" i="11"/>
  <c r="M83" i="11"/>
  <c r="Q83" i="11"/>
  <c r="K84" i="11"/>
  <c r="M84" i="11"/>
  <c r="Q84" i="11"/>
  <c r="K85" i="11"/>
  <c r="M85" i="11"/>
  <c r="Q85" i="11"/>
  <c r="K87" i="11"/>
  <c r="M87" i="11"/>
  <c r="Q87" i="11"/>
  <c r="K88" i="11"/>
  <c r="M88" i="11"/>
  <c r="Q88" i="11"/>
  <c r="K89" i="11"/>
  <c r="M89" i="11"/>
  <c r="Q89" i="11"/>
  <c r="K90" i="11"/>
  <c r="M90" i="11"/>
  <c r="Q90" i="11"/>
  <c r="K91" i="11"/>
  <c r="M91" i="11"/>
  <c r="Q91" i="11"/>
  <c r="K92" i="11"/>
  <c r="M92" i="11"/>
  <c r="Q92" i="11"/>
  <c r="K93" i="11"/>
  <c r="M93" i="11"/>
  <c r="Q93" i="11"/>
  <c r="K94" i="11"/>
  <c r="M94" i="11"/>
  <c r="Q94" i="11"/>
  <c r="K95" i="11"/>
  <c r="M95" i="11"/>
  <c r="Q95" i="11"/>
  <c r="K96" i="11"/>
  <c r="M96" i="11"/>
  <c r="Q96" i="11"/>
  <c r="K97" i="11"/>
  <c r="M97" i="11"/>
  <c r="Q97" i="11"/>
  <c r="K98" i="11"/>
  <c r="M98" i="11"/>
  <c r="Q98" i="11"/>
  <c r="M86" i="11" l="1"/>
  <c r="K67" i="11"/>
  <c r="Q57" i="11"/>
  <c r="M42" i="11"/>
  <c r="Q99" i="11"/>
  <c r="K86" i="11"/>
  <c r="M57" i="11"/>
  <c r="K42" i="11"/>
  <c r="Q20" i="11"/>
  <c r="Q13" i="11"/>
  <c r="M99" i="11"/>
  <c r="Q67" i="11"/>
  <c r="K57" i="11"/>
  <c r="M20" i="11"/>
  <c r="M13" i="11"/>
  <c r="K99" i="11"/>
  <c r="Q86" i="11"/>
  <c r="M67" i="11"/>
  <c r="Q42" i="11"/>
  <c r="K20" i="11"/>
  <c r="K13" i="11"/>
  <c r="AH103" i="7"/>
  <c r="O98" i="11" s="1"/>
  <c r="AH102" i="7"/>
  <c r="O97" i="11" s="1"/>
  <c r="AH101" i="7"/>
  <c r="O96" i="11" s="1"/>
  <c r="AH100" i="7"/>
  <c r="O95" i="11" s="1"/>
  <c r="AH99" i="7"/>
  <c r="O94" i="11" s="1"/>
  <c r="AH98" i="7"/>
  <c r="O93" i="11" s="1"/>
  <c r="AH97" i="7"/>
  <c r="O92" i="11" s="1"/>
  <c r="AH96" i="7"/>
  <c r="O91" i="11" s="1"/>
  <c r="AH95" i="7"/>
  <c r="O90" i="11" s="1"/>
  <c r="AH94" i="7"/>
  <c r="O89" i="11" s="1"/>
  <c r="AH93" i="7"/>
  <c r="O88" i="11" s="1"/>
  <c r="AH92" i="7"/>
  <c r="O87" i="11" s="1"/>
  <c r="AH90" i="7"/>
  <c r="O85" i="11" s="1"/>
  <c r="AH89" i="7"/>
  <c r="O84" i="11" s="1"/>
  <c r="AH88" i="7"/>
  <c r="O83" i="11" s="1"/>
  <c r="AH87" i="7"/>
  <c r="O82" i="11" s="1"/>
  <c r="AH86" i="7"/>
  <c r="O81" i="11" s="1"/>
  <c r="AH85" i="7"/>
  <c r="O80" i="11" s="1"/>
  <c r="AH84" i="7"/>
  <c r="O79" i="11" s="1"/>
  <c r="AH83" i="7"/>
  <c r="O78" i="11" s="1"/>
  <c r="AH82" i="7"/>
  <c r="O77" i="11" s="1"/>
  <c r="AH81" i="7"/>
  <c r="O76" i="11" s="1"/>
  <c r="AH80" i="7"/>
  <c r="O75" i="11" s="1"/>
  <c r="AH79" i="7"/>
  <c r="O74" i="11" s="1"/>
  <c r="AH78" i="7"/>
  <c r="O73" i="11" s="1"/>
  <c r="AH77" i="7"/>
  <c r="O72" i="11" s="1"/>
  <c r="AH76" i="7"/>
  <c r="O71" i="11" s="1"/>
  <c r="AH75" i="7"/>
  <c r="O70" i="11" s="1"/>
  <c r="AH74" i="7"/>
  <c r="O69" i="11" s="1"/>
  <c r="AH73" i="7"/>
  <c r="O68" i="11" s="1"/>
  <c r="AH71" i="7"/>
  <c r="O66" i="11" s="1"/>
  <c r="AH70" i="7"/>
  <c r="O65" i="11" s="1"/>
  <c r="AH69" i="7"/>
  <c r="O64" i="11" s="1"/>
  <c r="AH68" i="7"/>
  <c r="O63" i="11" s="1"/>
  <c r="AH67" i="7"/>
  <c r="O62" i="11" s="1"/>
  <c r="AH66" i="7"/>
  <c r="O61" i="11" s="1"/>
  <c r="AH65" i="7"/>
  <c r="O60" i="11" s="1"/>
  <c r="AH64" i="7"/>
  <c r="O59" i="11" s="1"/>
  <c r="AH63" i="7"/>
  <c r="O58" i="11" s="1"/>
  <c r="AH61" i="7"/>
  <c r="O56" i="11" s="1"/>
  <c r="AH60" i="7"/>
  <c r="O55" i="11" s="1"/>
  <c r="AH59" i="7"/>
  <c r="O54" i="11" s="1"/>
  <c r="AH58" i="7"/>
  <c r="O53" i="11" s="1"/>
  <c r="AH57" i="7"/>
  <c r="O52" i="11" s="1"/>
  <c r="AH56" i="7"/>
  <c r="O51" i="11" s="1"/>
  <c r="AH55" i="7"/>
  <c r="O50" i="11" s="1"/>
  <c r="AH54" i="7"/>
  <c r="O49" i="11" s="1"/>
  <c r="AH53" i="7"/>
  <c r="O48" i="11" s="1"/>
  <c r="AH52" i="7"/>
  <c r="O47" i="11" s="1"/>
  <c r="AH51" i="7"/>
  <c r="O46" i="11" s="1"/>
  <c r="AH50" i="7"/>
  <c r="O45" i="11" s="1"/>
  <c r="AH49" i="7"/>
  <c r="O44" i="11" s="1"/>
  <c r="AH48" i="7"/>
  <c r="O43" i="11" s="1"/>
  <c r="AH46" i="7"/>
  <c r="O41" i="11" s="1"/>
  <c r="AH45" i="7"/>
  <c r="O40" i="11" s="1"/>
  <c r="AH44" i="7"/>
  <c r="O39" i="11" s="1"/>
  <c r="AH43" i="7"/>
  <c r="O38" i="11" s="1"/>
  <c r="AH42" i="7"/>
  <c r="O37" i="11" s="1"/>
  <c r="AH41" i="7"/>
  <c r="O36" i="11" s="1"/>
  <c r="AH40" i="7"/>
  <c r="O35" i="11" s="1"/>
  <c r="AH39" i="7"/>
  <c r="O34" i="11" s="1"/>
  <c r="AH38" i="7"/>
  <c r="O33" i="11" s="1"/>
  <c r="AH37" i="7"/>
  <c r="O32" i="11" s="1"/>
  <c r="AH36" i="7"/>
  <c r="O31" i="11" s="1"/>
  <c r="AH35" i="7"/>
  <c r="O30" i="11" s="1"/>
  <c r="AH34" i="7"/>
  <c r="O29" i="11" s="1"/>
  <c r="AH33" i="7"/>
  <c r="O28" i="11" s="1"/>
  <c r="AH32" i="7"/>
  <c r="O27" i="11" s="1"/>
  <c r="AH31" i="7"/>
  <c r="O26" i="11" s="1"/>
  <c r="AH30" i="7"/>
  <c r="O25" i="11" s="1"/>
  <c r="AH29" i="7"/>
  <c r="O24" i="11" s="1"/>
  <c r="AH28" i="7"/>
  <c r="O23" i="11" s="1"/>
  <c r="AH27" i="7"/>
  <c r="O22" i="11" s="1"/>
  <c r="AH26" i="7"/>
  <c r="O21" i="11" s="1"/>
  <c r="AH24" i="7"/>
  <c r="O19" i="11" s="1"/>
  <c r="AH23" i="7"/>
  <c r="O18" i="11" s="1"/>
  <c r="AH22" i="7"/>
  <c r="O17" i="11" s="1"/>
  <c r="AH21" i="7"/>
  <c r="O16" i="11" s="1"/>
  <c r="AH20" i="7"/>
  <c r="O15" i="11" s="1"/>
  <c r="AH19" i="7"/>
  <c r="O14" i="11" s="1"/>
  <c r="AH17" i="7"/>
  <c r="O12" i="11" s="1"/>
  <c r="AH16" i="7"/>
  <c r="O11" i="11" s="1"/>
  <c r="AH15" i="7"/>
  <c r="O10" i="11" s="1"/>
  <c r="AH14" i="7"/>
  <c r="O9" i="11" s="1"/>
  <c r="AH13" i="7"/>
  <c r="O8" i="11" s="1"/>
  <c r="AH12" i="7"/>
  <c r="O7" i="11" s="1"/>
  <c r="AH11" i="7"/>
  <c r="O6" i="11" s="1"/>
  <c r="AH10" i="7"/>
  <c r="O5" i="11" s="1"/>
  <c r="AA103" i="7"/>
  <c r="R98" i="11" s="1"/>
  <c r="AA102" i="7"/>
  <c r="R97" i="11" s="1"/>
  <c r="AA101" i="7"/>
  <c r="R96" i="11" s="1"/>
  <c r="AA100" i="7"/>
  <c r="R95" i="11" s="1"/>
  <c r="AA99" i="7"/>
  <c r="R94" i="11" s="1"/>
  <c r="AA98" i="7"/>
  <c r="R93" i="11" s="1"/>
  <c r="AA97" i="7"/>
  <c r="R92" i="11" s="1"/>
  <c r="AA96" i="7"/>
  <c r="R91" i="11" s="1"/>
  <c r="AA95" i="7"/>
  <c r="R90" i="11" s="1"/>
  <c r="AA94" i="7"/>
  <c r="R89" i="11" s="1"/>
  <c r="AA93" i="7"/>
  <c r="R88" i="11" s="1"/>
  <c r="AA92" i="7"/>
  <c r="R87" i="11" s="1"/>
  <c r="AA90" i="7"/>
  <c r="R85" i="11" s="1"/>
  <c r="AA89" i="7"/>
  <c r="R84" i="11" s="1"/>
  <c r="AA88" i="7"/>
  <c r="R83" i="11" s="1"/>
  <c r="AA87" i="7"/>
  <c r="R82" i="11" s="1"/>
  <c r="AA86" i="7"/>
  <c r="R81" i="11" s="1"/>
  <c r="AA85" i="7"/>
  <c r="R80" i="11" s="1"/>
  <c r="AA84" i="7"/>
  <c r="R79" i="11" s="1"/>
  <c r="AA83" i="7"/>
  <c r="R78" i="11" s="1"/>
  <c r="AA82" i="7"/>
  <c r="R77" i="11" s="1"/>
  <c r="AA81" i="7"/>
  <c r="R76" i="11" s="1"/>
  <c r="AA80" i="7"/>
  <c r="R75" i="11" s="1"/>
  <c r="AA79" i="7"/>
  <c r="R74" i="11" s="1"/>
  <c r="AA78" i="7"/>
  <c r="R73" i="11" s="1"/>
  <c r="AA77" i="7"/>
  <c r="R72" i="11" s="1"/>
  <c r="AA76" i="7"/>
  <c r="R71" i="11" s="1"/>
  <c r="AA75" i="7"/>
  <c r="R70" i="11" s="1"/>
  <c r="AA74" i="7"/>
  <c r="R69" i="11" s="1"/>
  <c r="AA73" i="7"/>
  <c r="R68" i="11" s="1"/>
  <c r="AA71" i="7"/>
  <c r="R66" i="11" s="1"/>
  <c r="AA70" i="7"/>
  <c r="R65" i="11" s="1"/>
  <c r="AA69" i="7"/>
  <c r="R64" i="11" s="1"/>
  <c r="AA68" i="7"/>
  <c r="R63" i="11" s="1"/>
  <c r="AA67" i="7"/>
  <c r="R62" i="11" s="1"/>
  <c r="AA66" i="7"/>
  <c r="R61" i="11" s="1"/>
  <c r="AA65" i="7"/>
  <c r="R60" i="11" s="1"/>
  <c r="AA64" i="7"/>
  <c r="R59" i="11" s="1"/>
  <c r="AA63" i="7"/>
  <c r="R58" i="11" s="1"/>
  <c r="AA61" i="7"/>
  <c r="R56" i="11" s="1"/>
  <c r="AA60" i="7"/>
  <c r="R55" i="11" s="1"/>
  <c r="AA59" i="7"/>
  <c r="R54" i="11" s="1"/>
  <c r="AA58" i="7"/>
  <c r="R53" i="11" s="1"/>
  <c r="AA57" i="7"/>
  <c r="R52" i="11" s="1"/>
  <c r="AA56" i="7"/>
  <c r="R51" i="11" s="1"/>
  <c r="AA55" i="7"/>
  <c r="R50" i="11" s="1"/>
  <c r="AA54" i="7"/>
  <c r="R49" i="11" s="1"/>
  <c r="AA53" i="7"/>
  <c r="R48" i="11" s="1"/>
  <c r="AA52" i="7"/>
  <c r="R47" i="11" s="1"/>
  <c r="AA51" i="7"/>
  <c r="R46" i="11" s="1"/>
  <c r="AA50" i="7"/>
  <c r="R45" i="11" s="1"/>
  <c r="AA49" i="7"/>
  <c r="R44" i="11" s="1"/>
  <c r="AA48" i="7"/>
  <c r="R43" i="11" s="1"/>
  <c r="AA46" i="7"/>
  <c r="R41" i="11" s="1"/>
  <c r="AA45" i="7"/>
  <c r="R40" i="11" s="1"/>
  <c r="AA44" i="7"/>
  <c r="R39" i="11" s="1"/>
  <c r="AA43" i="7"/>
  <c r="R38" i="11" s="1"/>
  <c r="AA42" i="7"/>
  <c r="R37" i="11" s="1"/>
  <c r="AA41" i="7"/>
  <c r="R36" i="11" s="1"/>
  <c r="AA40" i="7"/>
  <c r="R35" i="11" s="1"/>
  <c r="AA39" i="7"/>
  <c r="R34" i="11" s="1"/>
  <c r="AA38" i="7"/>
  <c r="R33" i="11" s="1"/>
  <c r="AA37" i="7"/>
  <c r="R32" i="11" s="1"/>
  <c r="AA36" i="7"/>
  <c r="R31" i="11" s="1"/>
  <c r="AA35" i="7"/>
  <c r="R30" i="11" s="1"/>
  <c r="AA34" i="7"/>
  <c r="R29" i="11" s="1"/>
  <c r="AA33" i="7"/>
  <c r="R28" i="11" s="1"/>
  <c r="AA32" i="7"/>
  <c r="R27" i="11" s="1"/>
  <c r="AA31" i="7"/>
  <c r="R26" i="11" s="1"/>
  <c r="AA30" i="7"/>
  <c r="R25" i="11" s="1"/>
  <c r="AA29" i="7"/>
  <c r="R24" i="11" s="1"/>
  <c r="AA28" i="7"/>
  <c r="R23" i="11" s="1"/>
  <c r="AA27" i="7"/>
  <c r="R22" i="11" s="1"/>
  <c r="AA26" i="7"/>
  <c r="R21" i="11" s="1"/>
  <c r="AA24" i="7"/>
  <c r="R19" i="11" s="1"/>
  <c r="AA23" i="7"/>
  <c r="R18" i="11" s="1"/>
  <c r="AA22" i="7"/>
  <c r="R17" i="11" s="1"/>
  <c r="AA21" i="7"/>
  <c r="R16" i="11" s="1"/>
  <c r="AA20" i="7"/>
  <c r="R15" i="11" s="1"/>
  <c r="AA19" i="7"/>
  <c r="R14" i="11" s="1"/>
  <c r="AA17" i="7"/>
  <c r="R12" i="11" s="1"/>
  <c r="AA16" i="7"/>
  <c r="R11" i="11" s="1"/>
  <c r="AA15" i="7"/>
  <c r="R10" i="11" s="1"/>
  <c r="AA14" i="7"/>
  <c r="R9" i="11" s="1"/>
  <c r="AA13" i="7"/>
  <c r="R8" i="11" s="1"/>
  <c r="AA12" i="7"/>
  <c r="R7" i="11" s="1"/>
  <c r="AA11" i="7"/>
  <c r="R6" i="11" s="1"/>
  <c r="AA10" i="7"/>
  <c r="R5" i="11" s="1"/>
  <c r="U103" i="7"/>
  <c r="T103" i="7"/>
  <c r="U102" i="7"/>
  <c r="T102" i="7"/>
  <c r="U101" i="7"/>
  <c r="T101" i="7"/>
  <c r="U100" i="7"/>
  <c r="T100" i="7"/>
  <c r="U99" i="7"/>
  <c r="T99" i="7"/>
  <c r="U98" i="7"/>
  <c r="T98" i="7"/>
  <c r="U97" i="7"/>
  <c r="T97" i="7"/>
  <c r="U96" i="7"/>
  <c r="T96" i="7"/>
  <c r="U95" i="7"/>
  <c r="T95" i="7"/>
  <c r="U94" i="7"/>
  <c r="T94" i="7"/>
  <c r="U93" i="7"/>
  <c r="T93" i="7"/>
  <c r="U92" i="7"/>
  <c r="T92" i="7"/>
  <c r="U90" i="7"/>
  <c r="T90" i="7"/>
  <c r="U89" i="7"/>
  <c r="T89" i="7"/>
  <c r="U88" i="7"/>
  <c r="T88" i="7"/>
  <c r="U87" i="7"/>
  <c r="T87" i="7"/>
  <c r="U86" i="7"/>
  <c r="T86" i="7"/>
  <c r="U85" i="7"/>
  <c r="T85" i="7"/>
  <c r="U84" i="7"/>
  <c r="T84" i="7"/>
  <c r="U83" i="7"/>
  <c r="T83" i="7"/>
  <c r="U82" i="7"/>
  <c r="T82" i="7"/>
  <c r="U81" i="7"/>
  <c r="T81" i="7"/>
  <c r="U80" i="7"/>
  <c r="T80" i="7"/>
  <c r="U79" i="7"/>
  <c r="T79" i="7"/>
  <c r="U78" i="7"/>
  <c r="T78" i="7"/>
  <c r="U77" i="7"/>
  <c r="T77" i="7"/>
  <c r="U76" i="7"/>
  <c r="T76" i="7"/>
  <c r="U75" i="7"/>
  <c r="T75" i="7"/>
  <c r="U74" i="7"/>
  <c r="T74" i="7"/>
  <c r="U73" i="7"/>
  <c r="T73" i="7"/>
  <c r="U71" i="7"/>
  <c r="T71" i="7"/>
  <c r="U70" i="7"/>
  <c r="T70" i="7"/>
  <c r="U69" i="7"/>
  <c r="T69" i="7"/>
  <c r="U68" i="7"/>
  <c r="T68" i="7"/>
  <c r="U67" i="7"/>
  <c r="T67" i="7"/>
  <c r="U66" i="7"/>
  <c r="T66" i="7"/>
  <c r="U65" i="7"/>
  <c r="T65" i="7"/>
  <c r="U64" i="7"/>
  <c r="T64" i="7"/>
  <c r="U63" i="7"/>
  <c r="T63" i="7"/>
  <c r="U61" i="7"/>
  <c r="T61" i="7"/>
  <c r="U60" i="7"/>
  <c r="T60" i="7"/>
  <c r="U59" i="7"/>
  <c r="T59" i="7"/>
  <c r="U58" i="7"/>
  <c r="T58" i="7"/>
  <c r="U57" i="7"/>
  <c r="T57" i="7"/>
  <c r="U56" i="7"/>
  <c r="T56" i="7"/>
  <c r="U55" i="7"/>
  <c r="T55" i="7"/>
  <c r="U54" i="7"/>
  <c r="T54" i="7"/>
  <c r="U53" i="7"/>
  <c r="T53" i="7"/>
  <c r="U52" i="7"/>
  <c r="T52" i="7"/>
  <c r="U51" i="7"/>
  <c r="T51" i="7"/>
  <c r="U50" i="7"/>
  <c r="T50" i="7"/>
  <c r="U49" i="7"/>
  <c r="T49" i="7"/>
  <c r="U48" i="7"/>
  <c r="T48" i="7"/>
  <c r="U46" i="7"/>
  <c r="T46" i="7"/>
  <c r="U45" i="7"/>
  <c r="T45" i="7"/>
  <c r="U44" i="7"/>
  <c r="T44" i="7"/>
  <c r="U43" i="7"/>
  <c r="T43" i="7"/>
  <c r="U42" i="7"/>
  <c r="T42" i="7"/>
  <c r="U41" i="7"/>
  <c r="T41" i="7"/>
  <c r="U40" i="7"/>
  <c r="T40" i="7"/>
  <c r="U39" i="7"/>
  <c r="T39" i="7"/>
  <c r="U38" i="7"/>
  <c r="T38" i="7"/>
  <c r="U37" i="7"/>
  <c r="T37" i="7"/>
  <c r="U36" i="7"/>
  <c r="T36" i="7"/>
  <c r="U35" i="7"/>
  <c r="T35" i="7"/>
  <c r="U34" i="7"/>
  <c r="T34" i="7"/>
  <c r="U33" i="7"/>
  <c r="T33" i="7"/>
  <c r="U32" i="7"/>
  <c r="T32" i="7"/>
  <c r="U31" i="7"/>
  <c r="T31" i="7"/>
  <c r="U30" i="7"/>
  <c r="T30" i="7"/>
  <c r="U29" i="7"/>
  <c r="T29" i="7"/>
  <c r="U28" i="7"/>
  <c r="T28" i="7"/>
  <c r="U27" i="7"/>
  <c r="T27" i="7"/>
  <c r="U26" i="7"/>
  <c r="T26" i="7"/>
  <c r="U24" i="7"/>
  <c r="T24" i="7"/>
  <c r="U23" i="7"/>
  <c r="T23" i="7"/>
  <c r="U22" i="7"/>
  <c r="T22" i="7"/>
  <c r="U21" i="7"/>
  <c r="T21" i="7"/>
  <c r="U20" i="7"/>
  <c r="T20" i="7"/>
  <c r="U19" i="7"/>
  <c r="T19" i="7"/>
  <c r="U17" i="7"/>
  <c r="T17" i="7"/>
  <c r="U16" i="7"/>
  <c r="T16" i="7"/>
  <c r="U15" i="7"/>
  <c r="T15" i="7"/>
  <c r="U14" i="7"/>
  <c r="T14" i="7"/>
  <c r="U13" i="7"/>
  <c r="T13" i="7"/>
  <c r="U12" i="7"/>
  <c r="T12" i="7"/>
  <c r="U11" i="7"/>
  <c r="T11" i="7"/>
  <c r="U10" i="7"/>
  <c r="T10" i="7"/>
  <c r="R103" i="7"/>
  <c r="H98" i="11" s="1"/>
  <c r="Q103" i="7"/>
  <c r="G98" i="11" s="1"/>
  <c r="R102" i="7"/>
  <c r="H97" i="11" s="1"/>
  <c r="Q102" i="7"/>
  <c r="G97" i="11" s="1"/>
  <c r="R101" i="7"/>
  <c r="H96" i="11" s="1"/>
  <c r="Q101" i="7"/>
  <c r="G96" i="11" s="1"/>
  <c r="R100" i="7"/>
  <c r="H95" i="11" s="1"/>
  <c r="Q100" i="7"/>
  <c r="G95" i="11" s="1"/>
  <c r="R99" i="7"/>
  <c r="H94" i="11" s="1"/>
  <c r="Q99" i="7"/>
  <c r="G94" i="11" s="1"/>
  <c r="R98" i="7"/>
  <c r="H93" i="11" s="1"/>
  <c r="Q98" i="7"/>
  <c r="G93" i="11" s="1"/>
  <c r="R97" i="7"/>
  <c r="H92" i="11" s="1"/>
  <c r="Q97" i="7"/>
  <c r="G92" i="11" s="1"/>
  <c r="R96" i="7"/>
  <c r="H91" i="11" s="1"/>
  <c r="Q96" i="7"/>
  <c r="G91" i="11" s="1"/>
  <c r="R95" i="7"/>
  <c r="H90" i="11" s="1"/>
  <c r="Q95" i="7"/>
  <c r="G90" i="11" s="1"/>
  <c r="R94" i="7"/>
  <c r="H89" i="11" s="1"/>
  <c r="Q94" i="7"/>
  <c r="G89" i="11" s="1"/>
  <c r="R93" i="7"/>
  <c r="H88" i="11" s="1"/>
  <c r="Q93" i="7"/>
  <c r="G88" i="11" s="1"/>
  <c r="R92" i="7"/>
  <c r="H87" i="11" s="1"/>
  <c r="Q92" i="7"/>
  <c r="G87" i="11" s="1"/>
  <c r="R90" i="7"/>
  <c r="H85" i="11" s="1"/>
  <c r="Q90" i="7"/>
  <c r="G85" i="11" s="1"/>
  <c r="R89" i="7"/>
  <c r="H84" i="11" s="1"/>
  <c r="Q89" i="7"/>
  <c r="G84" i="11" s="1"/>
  <c r="R88" i="7"/>
  <c r="H83" i="11" s="1"/>
  <c r="Q88" i="7"/>
  <c r="G83" i="11" s="1"/>
  <c r="R87" i="7"/>
  <c r="H82" i="11" s="1"/>
  <c r="Q87" i="7"/>
  <c r="G82" i="11" s="1"/>
  <c r="R86" i="7"/>
  <c r="H81" i="11" s="1"/>
  <c r="Q86" i="7"/>
  <c r="G81" i="11" s="1"/>
  <c r="R85" i="7"/>
  <c r="H80" i="11" s="1"/>
  <c r="Q85" i="7"/>
  <c r="G80" i="11" s="1"/>
  <c r="R84" i="7"/>
  <c r="H79" i="11" s="1"/>
  <c r="Q84" i="7"/>
  <c r="G79" i="11" s="1"/>
  <c r="R83" i="7"/>
  <c r="H78" i="11" s="1"/>
  <c r="Q83" i="7"/>
  <c r="G78" i="11" s="1"/>
  <c r="R82" i="7"/>
  <c r="H77" i="11" s="1"/>
  <c r="Q82" i="7"/>
  <c r="G77" i="11" s="1"/>
  <c r="R81" i="7"/>
  <c r="H76" i="11" s="1"/>
  <c r="Q81" i="7"/>
  <c r="G76" i="11" s="1"/>
  <c r="R80" i="7"/>
  <c r="H75" i="11" s="1"/>
  <c r="Q80" i="7"/>
  <c r="G75" i="11" s="1"/>
  <c r="R79" i="7"/>
  <c r="H74" i="11" s="1"/>
  <c r="Q79" i="7"/>
  <c r="G74" i="11" s="1"/>
  <c r="R78" i="7"/>
  <c r="H73" i="11" s="1"/>
  <c r="Q78" i="7"/>
  <c r="G73" i="11" s="1"/>
  <c r="R77" i="7"/>
  <c r="H72" i="11" s="1"/>
  <c r="Q77" i="7"/>
  <c r="G72" i="11" s="1"/>
  <c r="R76" i="7"/>
  <c r="H71" i="11" s="1"/>
  <c r="Q76" i="7"/>
  <c r="G71" i="11" s="1"/>
  <c r="R75" i="7"/>
  <c r="H70" i="11" s="1"/>
  <c r="Q75" i="7"/>
  <c r="G70" i="11" s="1"/>
  <c r="R74" i="7"/>
  <c r="H69" i="11" s="1"/>
  <c r="Q74" i="7"/>
  <c r="G69" i="11" s="1"/>
  <c r="R73" i="7"/>
  <c r="H68" i="11" s="1"/>
  <c r="Q73" i="7"/>
  <c r="G68" i="11" s="1"/>
  <c r="R71" i="7"/>
  <c r="H66" i="11" s="1"/>
  <c r="Q71" i="7"/>
  <c r="G66" i="11" s="1"/>
  <c r="R70" i="7"/>
  <c r="H65" i="11" s="1"/>
  <c r="Q70" i="7"/>
  <c r="G65" i="11" s="1"/>
  <c r="R69" i="7"/>
  <c r="H64" i="11" s="1"/>
  <c r="Q69" i="7"/>
  <c r="G64" i="11" s="1"/>
  <c r="R68" i="7"/>
  <c r="H63" i="11" s="1"/>
  <c r="Q68" i="7"/>
  <c r="G63" i="11" s="1"/>
  <c r="R67" i="7"/>
  <c r="H62" i="11" s="1"/>
  <c r="Q67" i="7"/>
  <c r="G62" i="11" s="1"/>
  <c r="R66" i="7"/>
  <c r="H61" i="11" s="1"/>
  <c r="Q66" i="7"/>
  <c r="G61" i="11" s="1"/>
  <c r="R65" i="7"/>
  <c r="H60" i="11" s="1"/>
  <c r="Q65" i="7"/>
  <c r="G60" i="11" s="1"/>
  <c r="R64" i="7"/>
  <c r="H59" i="11" s="1"/>
  <c r="Q64" i="7"/>
  <c r="G59" i="11" s="1"/>
  <c r="R63" i="7"/>
  <c r="H58" i="11" s="1"/>
  <c r="Q63" i="7"/>
  <c r="G58" i="11" s="1"/>
  <c r="R61" i="7"/>
  <c r="H56" i="11" s="1"/>
  <c r="Q61" i="7"/>
  <c r="G56" i="11" s="1"/>
  <c r="R60" i="7"/>
  <c r="H55" i="11" s="1"/>
  <c r="Q60" i="7"/>
  <c r="G55" i="11" s="1"/>
  <c r="R59" i="7"/>
  <c r="H54" i="11" s="1"/>
  <c r="Q59" i="7"/>
  <c r="G54" i="11" s="1"/>
  <c r="R58" i="7"/>
  <c r="H53" i="11" s="1"/>
  <c r="Q58" i="7"/>
  <c r="G53" i="11" s="1"/>
  <c r="R57" i="7"/>
  <c r="H52" i="11" s="1"/>
  <c r="Q57" i="7"/>
  <c r="G52" i="11" s="1"/>
  <c r="R56" i="7"/>
  <c r="H51" i="11" s="1"/>
  <c r="Q56" i="7"/>
  <c r="G51" i="11" s="1"/>
  <c r="R55" i="7"/>
  <c r="H50" i="11" s="1"/>
  <c r="Q55" i="7"/>
  <c r="G50" i="11" s="1"/>
  <c r="R54" i="7"/>
  <c r="H49" i="11" s="1"/>
  <c r="Q54" i="7"/>
  <c r="G49" i="11" s="1"/>
  <c r="R53" i="7"/>
  <c r="H48" i="11" s="1"/>
  <c r="Q53" i="7"/>
  <c r="G48" i="11" s="1"/>
  <c r="R52" i="7"/>
  <c r="H47" i="11" s="1"/>
  <c r="Q52" i="7"/>
  <c r="G47" i="11" s="1"/>
  <c r="R51" i="7"/>
  <c r="H46" i="11" s="1"/>
  <c r="Q51" i="7"/>
  <c r="G46" i="11" s="1"/>
  <c r="R50" i="7"/>
  <c r="H45" i="11" s="1"/>
  <c r="Q50" i="7"/>
  <c r="G45" i="11" s="1"/>
  <c r="R49" i="7"/>
  <c r="H44" i="11" s="1"/>
  <c r="Q49" i="7"/>
  <c r="G44" i="11" s="1"/>
  <c r="R48" i="7"/>
  <c r="H43" i="11" s="1"/>
  <c r="Q48" i="7"/>
  <c r="G43" i="11" s="1"/>
  <c r="R46" i="7"/>
  <c r="H41" i="11" s="1"/>
  <c r="Q46" i="7"/>
  <c r="G41" i="11" s="1"/>
  <c r="R45" i="7"/>
  <c r="H40" i="11" s="1"/>
  <c r="Q45" i="7"/>
  <c r="G40" i="11" s="1"/>
  <c r="R44" i="7"/>
  <c r="H39" i="11" s="1"/>
  <c r="Q44" i="7"/>
  <c r="G39" i="11" s="1"/>
  <c r="R43" i="7"/>
  <c r="H38" i="11" s="1"/>
  <c r="Q43" i="7"/>
  <c r="G38" i="11" s="1"/>
  <c r="R42" i="7"/>
  <c r="H37" i="11" s="1"/>
  <c r="Q42" i="7"/>
  <c r="G37" i="11" s="1"/>
  <c r="R41" i="7"/>
  <c r="H36" i="11" s="1"/>
  <c r="Q41" i="7"/>
  <c r="G36" i="11" s="1"/>
  <c r="R40" i="7"/>
  <c r="H35" i="11" s="1"/>
  <c r="Q40" i="7"/>
  <c r="G35" i="11" s="1"/>
  <c r="R39" i="7"/>
  <c r="H34" i="11" s="1"/>
  <c r="Q39" i="7"/>
  <c r="G34" i="11" s="1"/>
  <c r="R38" i="7"/>
  <c r="H33" i="11" s="1"/>
  <c r="Q38" i="7"/>
  <c r="G33" i="11" s="1"/>
  <c r="R37" i="7"/>
  <c r="H32" i="11" s="1"/>
  <c r="Q37" i="7"/>
  <c r="G32" i="11" s="1"/>
  <c r="R36" i="7"/>
  <c r="H31" i="11" s="1"/>
  <c r="Q36" i="7"/>
  <c r="G31" i="11" s="1"/>
  <c r="R35" i="7"/>
  <c r="H30" i="11" s="1"/>
  <c r="Q35" i="7"/>
  <c r="G30" i="11" s="1"/>
  <c r="R34" i="7"/>
  <c r="H29" i="11" s="1"/>
  <c r="Q34" i="7"/>
  <c r="G29" i="11" s="1"/>
  <c r="R33" i="7"/>
  <c r="H28" i="11" s="1"/>
  <c r="Q33" i="7"/>
  <c r="G28" i="11" s="1"/>
  <c r="R32" i="7"/>
  <c r="H27" i="11" s="1"/>
  <c r="Q32" i="7"/>
  <c r="G27" i="11" s="1"/>
  <c r="R31" i="7"/>
  <c r="H26" i="11" s="1"/>
  <c r="Q31" i="7"/>
  <c r="G26" i="11" s="1"/>
  <c r="R30" i="7"/>
  <c r="H25" i="11" s="1"/>
  <c r="Q30" i="7"/>
  <c r="G25" i="11" s="1"/>
  <c r="R29" i="7"/>
  <c r="H24" i="11" s="1"/>
  <c r="Q29" i="7"/>
  <c r="G24" i="11" s="1"/>
  <c r="R28" i="7"/>
  <c r="H23" i="11" s="1"/>
  <c r="Q28" i="7"/>
  <c r="G23" i="11" s="1"/>
  <c r="R27" i="7"/>
  <c r="H22" i="11" s="1"/>
  <c r="Q27" i="7"/>
  <c r="G22" i="11" s="1"/>
  <c r="R26" i="7"/>
  <c r="H21" i="11" s="1"/>
  <c r="Q26" i="7"/>
  <c r="G21" i="11" s="1"/>
  <c r="R24" i="7"/>
  <c r="H19" i="11" s="1"/>
  <c r="Q24" i="7"/>
  <c r="G19" i="11" s="1"/>
  <c r="R23" i="7"/>
  <c r="H18" i="11" s="1"/>
  <c r="Q23" i="7"/>
  <c r="G18" i="11" s="1"/>
  <c r="R22" i="7"/>
  <c r="H17" i="11" s="1"/>
  <c r="Q22" i="7"/>
  <c r="G17" i="11" s="1"/>
  <c r="R21" i="7"/>
  <c r="H16" i="11" s="1"/>
  <c r="Q21" i="7"/>
  <c r="G16" i="11" s="1"/>
  <c r="R20" i="7"/>
  <c r="H15" i="11" s="1"/>
  <c r="Q20" i="7"/>
  <c r="G15" i="11" s="1"/>
  <c r="R19" i="7"/>
  <c r="H14" i="11" s="1"/>
  <c r="Q19" i="7"/>
  <c r="G14" i="11" s="1"/>
  <c r="R17" i="7"/>
  <c r="H12" i="11" s="1"/>
  <c r="Q17" i="7"/>
  <c r="G12" i="11" s="1"/>
  <c r="R16" i="7"/>
  <c r="H11" i="11" s="1"/>
  <c r="Q16" i="7"/>
  <c r="G11" i="11" s="1"/>
  <c r="R15" i="7"/>
  <c r="H10" i="11" s="1"/>
  <c r="Q15" i="7"/>
  <c r="G10" i="11" s="1"/>
  <c r="R14" i="7"/>
  <c r="H9" i="11" s="1"/>
  <c r="Q14" i="7"/>
  <c r="G9" i="11" s="1"/>
  <c r="R13" i="7"/>
  <c r="H8" i="11" s="1"/>
  <c r="Q13" i="7"/>
  <c r="G8" i="11" s="1"/>
  <c r="R12" i="7"/>
  <c r="H7" i="11" s="1"/>
  <c r="Q12" i="7"/>
  <c r="G7" i="11" s="1"/>
  <c r="R11" i="7"/>
  <c r="H6" i="11" s="1"/>
  <c r="Q11" i="7"/>
  <c r="G6" i="11" s="1"/>
  <c r="R10" i="7"/>
  <c r="H5" i="11" s="1"/>
  <c r="Q10" i="7"/>
  <c r="G5" i="11" s="1"/>
  <c r="L103" i="7"/>
  <c r="K103" i="7"/>
  <c r="L102" i="7"/>
  <c r="K102" i="7"/>
  <c r="L101" i="7"/>
  <c r="K101" i="7"/>
  <c r="L100" i="7"/>
  <c r="K100" i="7"/>
  <c r="L99" i="7"/>
  <c r="K99" i="7"/>
  <c r="L98" i="7"/>
  <c r="K98" i="7"/>
  <c r="L97" i="7"/>
  <c r="K97" i="7"/>
  <c r="L96" i="7"/>
  <c r="K96" i="7"/>
  <c r="L95" i="7"/>
  <c r="K95" i="7"/>
  <c r="L94" i="7"/>
  <c r="K94" i="7"/>
  <c r="L93" i="7"/>
  <c r="K93" i="7"/>
  <c r="L92" i="7"/>
  <c r="K92" i="7"/>
  <c r="L90" i="7"/>
  <c r="K90" i="7"/>
  <c r="L89" i="7"/>
  <c r="K89" i="7"/>
  <c r="L88" i="7"/>
  <c r="K88" i="7"/>
  <c r="L87" i="7"/>
  <c r="K87" i="7"/>
  <c r="L86" i="7"/>
  <c r="K86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L63" i="7"/>
  <c r="K63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L46" i="7"/>
  <c r="K46" i="7"/>
  <c r="L45" i="7"/>
  <c r="K45" i="7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4" i="7"/>
  <c r="K24" i="7"/>
  <c r="L23" i="7"/>
  <c r="K23" i="7"/>
  <c r="L22" i="7"/>
  <c r="K22" i="7"/>
  <c r="L21" i="7"/>
  <c r="K21" i="7"/>
  <c r="L20" i="7"/>
  <c r="K20" i="7"/>
  <c r="L19" i="7"/>
  <c r="K19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Y98" i="5"/>
  <c r="W98" i="5"/>
  <c r="U98" i="5"/>
  <c r="S98" i="5"/>
  <c r="R98" i="5"/>
  <c r="Q98" i="5"/>
  <c r="P98" i="5"/>
  <c r="O98" i="5"/>
  <c r="M98" i="5"/>
  <c r="L98" i="5"/>
  <c r="K98" i="5"/>
  <c r="Y85" i="5"/>
  <c r="W85" i="5"/>
  <c r="U85" i="5"/>
  <c r="S85" i="5"/>
  <c r="R85" i="5"/>
  <c r="Q85" i="5"/>
  <c r="P85" i="5"/>
  <c r="O85" i="5"/>
  <c r="M85" i="5"/>
  <c r="L85" i="5"/>
  <c r="K85" i="5"/>
  <c r="Y66" i="5"/>
  <c r="W66" i="5"/>
  <c r="U66" i="5"/>
  <c r="S66" i="5"/>
  <c r="R66" i="5"/>
  <c r="Q66" i="5"/>
  <c r="P66" i="5"/>
  <c r="O66" i="5"/>
  <c r="M66" i="5"/>
  <c r="L66" i="5"/>
  <c r="K66" i="5"/>
  <c r="Y56" i="5"/>
  <c r="W56" i="5"/>
  <c r="U56" i="5"/>
  <c r="S56" i="5"/>
  <c r="R56" i="5"/>
  <c r="Q56" i="5"/>
  <c r="P56" i="5"/>
  <c r="O56" i="5"/>
  <c r="M56" i="5"/>
  <c r="L56" i="5"/>
  <c r="K56" i="5"/>
  <c r="Y41" i="5"/>
  <c r="W41" i="5"/>
  <c r="U41" i="5"/>
  <c r="S41" i="5"/>
  <c r="R41" i="5"/>
  <c r="Q41" i="5"/>
  <c r="P41" i="5"/>
  <c r="O41" i="5"/>
  <c r="M41" i="5"/>
  <c r="L41" i="5"/>
  <c r="K41" i="5"/>
  <c r="Y19" i="5"/>
  <c r="W19" i="5"/>
  <c r="U19" i="5"/>
  <c r="S19" i="5"/>
  <c r="R19" i="5"/>
  <c r="Q19" i="5"/>
  <c r="P19" i="5"/>
  <c r="O19" i="5"/>
  <c r="M19" i="5"/>
  <c r="L19" i="5"/>
  <c r="K19" i="5"/>
  <c r="Y12" i="5"/>
  <c r="W12" i="5"/>
  <c r="U12" i="5"/>
  <c r="S12" i="5"/>
  <c r="R12" i="5"/>
  <c r="Q12" i="5"/>
  <c r="P12" i="5"/>
  <c r="O12" i="5"/>
  <c r="M12" i="5"/>
  <c r="L12" i="5"/>
  <c r="K12" i="5"/>
  <c r="T6" i="5"/>
  <c r="V6" i="5" s="1"/>
  <c r="X6" i="5" s="1"/>
  <c r="T8" i="5"/>
  <c r="V8" i="5" s="1"/>
  <c r="X8" i="5" s="1"/>
  <c r="T10" i="5"/>
  <c r="V10" i="5" s="1"/>
  <c r="X10" i="5" s="1"/>
  <c r="T16" i="5"/>
  <c r="V16" i="5" s="1"/>
  <c r="X16" i="5" s="1"/>
  <c r="T18" i="5"/>
  <c r="V18" i="5" s="1"/>
  <c r="X18" i="5" s="1"/>
  <c r="T20" i="5"/>
  <c r="V20" i="5" s="1"/>
  <c r="X20" i="5" s="1"/>
  <c r="T22" i="5"/>
  <c r="V22" i="5" s="1"/>
  <c r="X22" i="5" s="1"/>
  <c r="T24" i="5"/>
  <c r="V24" i="5" s="1"/>
  <c r="X24" i="5" s="1"/>
  <c r="T26" i="5"/>
  <c r="V26" i="5" s="1"/>
  <c r="X26" i="5" s="1"/>
  <c r="T28" i="5"/>
  <c r="V28" i="5" s="1"/>
  <c r="X28" i="5" s="1"/>
  <c r="T30" i="5"/>
  <c r="V30" i="5" s="1"/>
  <c r="X30" i="5" s="1"/>
  <c r="T34" i="5"/>
  <c r="V34" i="5" s="1"/>
  <c r="X34" i="5" s="1"/>
  <c r="T38" i="5"/>
  <c r="V38" i="5" s="1"/>
  <c r="X38" i="5" s="1"/>
  <c r="T40" i="5"/>
  <c r="V40" i="5" s="1"/>
  <c r="X40" i="5" s="1"/>
  <c r="T42" i="5"/>
  <c r="V42" i="5" s="1"/>
  <c r="X42" i="5" s="1"/>
  <c r="T44" i="5"/>
  <c r="T48" i="5"/>
  <c r="V48" i="5" s="1"/>
  <c r="X48" i="5" s="1"/>
  <c r="T50" i="5"/>
  <c r="V50" i="5" s="1"/>
  <c r="X50" i="5" s="1"/>
  <c r="T52" i="5"/>
  <c r="V52" i="5" s="1"/>
  <c r="X52" i="5" s="1"/>
  <c r="T54" i="5"/>
  <c r="V54" i="5" s="1"/>
  <c r="X54" i="5" s="1"/>
  <c r="T55" i="5"/>
  <c r="V55" i="5" s="1"/>
  <c r="X55" i="5" s="1"/>
  <c r="T60" i="5"/>
  <c r="V60" i="5" s="1"/>
  <c r="X60" i="5" s="1"/>
  <c r="T62" i="5"/>
  <c r="V62" i="5" s="1"/>
  <c r="X62" i="5" s="1"/>
  <c r="T64" i="5"/>
  <c r="V64" i="5" s="1"/>
  <c r="X64" i="5" s="1"/>
  <c r="T65" i="5"/>
  <c r="V65" i="5" s="1"/>
  <c r="X65" i="5" s="1"/>
  <c r="T67" i="5"/>
  <c r="V67" i="5" s="1"/>
  <c r="X67" i="5" s="1"/>
  <c r="T68" i="5"/>
  <c r="V68" i="5" s="1"/>
  <c r="X68" i="5" s="1"/>
  <c r="T70" i="5"/>
  <c r="V70" i="5" s="1"/>
  <c r="T73" i="5"/>
  <c r="V73" i="5" s="1"/>
  <c r="X73" i="5" s="1"/>
  <c r="T75" i="5"/>
  <c r="V75" i="5" s="1"/>
  <c r="X75" i="5" s="1"/>
  <c r="T76" i="5"/>
  <c r="V76" i="5" s="1"/>
  <c r="X76" i="5" s="1"/>
  <c r="T78" i="5"/>
  <c r="V78" i="5" s="1"/>
  <c r="X78" i="5" s="1"/>
  <c r="T80" i="5"/>
  <c r="V80" i="5" s="1"/>
  <c r="X80" i="5" s="1"/>
  <c r="T81" i="5"/>
  <c r="V81" i="5" s="1"/>
  <c r="X81" i="5" s="1"/>
  <c r="T82" i="5"/>
  <c r="V82" i="5" s="1"/>
  <c r="X82" i="5" s="1"/>
  <c r="T83" i="5"/>
  <c r="V83" i="5" s="1"/>
  <c r="X83" i="5" s="1"/>
  <c r="T84" i="5"/>
  <c r="V84" i="5" s="1"/>
  <c r="X84" i="5" s="1"/>
  <c r="T86" i="5"/>
  <c r="V86" i="5" s="1"/>
  <c r="X86" i="5" s="1"/>
  <c r="T89" i="5"/>
  <c r="V89" i="5" s="1"/>
  <c r="X89" i="5" s="1"/>
  <c r="T91" i="5"/>
  <c r="V91" i="5" s="1"/>
  <c r="X91" i="5" s="1"/>
  <c r="T92" i="5"/>
  <c r="V92" i="5" s="1"/>
  <c r="X92" i="5" s="1"/>
  <c r="T94" i="5"/>
  <c r="V94" i="5" s="1"/>
  <c r="X94" i="5" s="1"/>
  <c r="T96" i="5"/>
  <c r="V96" i="5" s="1"/>
  <c r="X96" i="5" s="1"/>
  <c r="T97" i="5"/>
  <c r="V97" i="5" s="1"/>
  <c r="X97" i="5" s="1"/>
  <c r="T4" i="5"/>
  <c r="V4" i="5" s="1"/>
  <c r="X4" i="5" s="1"/>
  <c r="T5" i="5"/>
  <c r="T7" i="5"/>
  <c r="V7" i="5" s="1"/>
  <c r="X7" i="5" s="1"/>
  <c r="T9" i="5"/>
  <c r="T11" i="5"/>
  <c r="V11" i="5" s="1"/>
  <c r="X11" i="5" s="1"/>
  <c r="T13" i="5"/>
  <c r="T14" i="5"/>
  <c r="V14" i="5" s="1"/>
  <c r="X14" i="5" s="1"/>
  <c r="T15" i="5"/>
  <c r="V15" i="5" s="1"/>
  <c r="X15" i="5" s="1"/>
  <c r="T17" i="5"/>
  <c r="T21" i="5"/>
  <c r="T23" i="5"/>
  <c r="V23" i="5" s="1"/>
  <c r="X23" i="5" s="1"/>
  <c r="T25" i="5"/>
  <c r="T27" i="5"/>
  <c r="V27" i="5" s="1"/>
  <c r="X27" i="5" s="1"/>
  <c r="T29" i="5"/>
  <c r="T31" i="5"/>
  <c r="V31" i="5" s="1"/>
  <c r="X31" i="5" s="1"/>
  <c r="T32" i="5"/>
  <c r="V32" i="5" s="1"/>
  <c r="X32" i="5" s="1"/>
  <c r="T33" i="5"/>
  <c r="T35" i="5"/>
  <c r="V35" i="5" s="1"/>
  <c r="X35" i="5" s="1"/>
  <c r="T36" i="5"/>
  <c r="V36" i="5" s="1"/>
  <c r="X36" i="5" s="1"/>
  <c r="T37" i="5"/>
  <c r="T39" i="5"/>
  <c r="V39" i="5" s="1"/>
  <c r="X39" i="5" s="1"/>
  <c r="T43" i="5"/>
  <c r="V43" i="5" s="1"/>
  <c r="X43" i="5" s="1"/>
  <c r="T45" i="5"/>
  <c r="T46" i="5"/>
  <c r="V46" i="5" s="1"/>
  <c r="X46" i="5" s="1"/>
  <c r="T47" i="5"/>
  <c r="V47" i="5" s="1"/>
  <c r="X47" i="5" s="1"/>
  <c r="T49" i="5"/>
  <c r="V49" i="5" s="1"/>
  <c r="X49" i="5" s="1"/>
  <c r="T51" i="5"/>
  <c r="V51" i="5" s="1"/>
  <c r="X51" i="5" s="1"/>
  <c r="T53" i="5"/>
  <c r="V53" i="5" s="1"/>
  <c r="X53" i="5" s="1"/>
  <c r="T57" i="5"/>
  <c r="T58" i="5"/>
  <c r="V58" i="5" s="1"/>
  <c r="X58" i="5" s="1"/>
  <c r="T59" i="5"/>
  <c r="V59" i="5" s="1"/>
  <c r="X59" i="5" s="1"/>
  <c r="T61" i="5"/>
  <c r="V61" i="5" s="1"/>
  <c r="X61" i="5" s="1"/>
  <c r="T63" i="5"/>
  <c r="V63" i="5" s="1"/>
  <c r="X63" i="5" s="1"/>
  <c r="T69" i="5"/>
  <c r="V69" i="5" s="1"/>
  <c r="X69" i="5" s="1"/>
  <c r="T71" i="5"/>
  <c r="V71" i="5" s="1"/>
  <c r="X71" i="5" s="1"/>
  <c r="T72" i="5"/>
  <c r="V72" i="5" s="1"/>
  <c r="X72" i="5" s="1"/>
  <c r="T74" i="5"/>
  <c r="V74" i="5" s="1"/>
  <c r="X74" i="5" s="1"/>
  <c r="T77" i="5"/>
  <c r="V77" i="5" s="1"/>
  <c r="X77" i="5" s="1"/>
  <c r="T79" i="5"/>
  <c r="V79" i="5" s="1"/>
  <c r="X79" i="5" s="1"/>
  <c r="T87" i="5"/>
  <c r="V87" i="5" s="1"/>
  <c r="X87" i="5" s="1"/>
  <c r="T88" i="5"/>
  <c r="V88" i="5" s="1"/>
  <c r="X88" i="5" s="1"/>
  <c r="T90" i="5"/>
  <c r="V90" i="5" s="1"/>
  <c r="X90" i="5" s="1"/>
  <c r="T93" i="5"/>
  <c r="V93" i="5" s="1"/>
  <c r="X93" i="5" s="1"/>
  <c r="T95" i="5"/>
  <c r="V95" i="5" s="1"/>
  <c r="X95" i="5" s="1"/>
  <c r="G13" i="11" l="1"/>
  <c r="G20" i="11"/>
  <c r="G42" i="11"/>
  <c r="G86" i="11"/>
  <c r="G99" i="11"/>
  <c r="R57" i="11"/>
  <c r="O57" i="11"/>
  <c r="G57" i="11"/>
  <c r="H57" i="11"/>
  <c r="H67" i="11"/>
  <c r="R67" i="11"/>
  <c r="Q100" i="11"/>
  <c r="M100" i="11"/>
  <c r="K100" i="11"/>
  <c r="O67" i="11"/>
  <c r="R42" i="11"/>
  <c r="R86" i="11"/>
  <c r="O42" i="11"/>
  <c r="O86" i="11"/>
  <c r="H13" i="11"/>
  <c r="H20" i="11"/>
  <c r="H42" i="11"/>
  <c r="H86" i="11"/>
  <c r="H99" i="11"/>
  <c r="G67" i="11"/>
  <c r="R13" i="11"/>
  <c r="R20" i="11"/>
  <c r="R99" i="11"/>
  <c r="O13" i="11"/>
  <c r="O20" i="11"/>
  <c r="O99" i="11"/>
  <c r="W99" i="5"/>
  <c r="X98" i="5"/>
  <c r="T66" i="5"/>
  <c r="X70" i="5"/>
  <c r="X85" i="5" s="1"/>
  <c r="V85" i="5"/>
  <c r="K99" i="5"/>
  <c r="O99" i="5"/>
  <c r="S99" i="5"/>
  <c r="V44" i="5"/>
  <c r="X44" i="5" s="1"/>
  <c r="T56" i="5"/>
  <c r="T19" i="5"/>
  <c r="L99" i="5"/>
  <c r="P99" i="5"/>
  <c r="T41" i="5"/>
  <c r="T98" i="5"/>
  <c r="M99" i="5"/>
  <c r="Q99" i="5"/>
  <c r="U99" i="5"/>
  <c r="Y99" i="5"/>
  <c r="T85" i="5"/>
  <c r="R99" i="5"/>
  <c r="T12" i="5"/>
  <c r="V98" i="5"/>
  <c r="V33" i="5"/>
  <c r="X33" i="5" s="1"/>
  <c r="V25" i="5"/>
  <c r="X25" i="5" s="1"/>
  <c r="V17" i="5"/>
  <c r="X17" i="5" s="1"/>
  <c r="V9" i="5"/>
  <c r="X9" i="5" s="1"/>
  <c r="V57" i="5"/>
  <c r="V45" i="5"/>
  <c r="X45" i="5" s="1"/>
  <c r="V37" i="5"/>
  <c r="X37" i="5" s="1"/>
  <c r="V29" i="5"/>
  <c r="X29" i="5" s="1"/>
  <c r="V21" i="5"/>
  <c r="X21" i="5" s="1"/>
  <c r="V13" i="5"/>
  <c r="V5" i="5"/>
  <c r="X5" i="5" s="1"/>
  <c r="X12" i="5" s="1"/>
  <c r="G100" i="11" l="1"/>
  <c r="H100" i="11"/>
  <c r="X41" i="5"/>
  <c r="T99" i="5"/>
  <c r="X56" i="5"/>
  <c r="X57" i="5"/>
  <c r="X66" i="5" s="1"/>
  <c r="V66" i="5"/>
  <c r="X13" i="5"/>
  <c r="X19" i="5" s="1"/>
  <c r="V19" i="5"/>
  <c r="V41" i="5"/>
  <c r="V56" i="5"/>
  <c r="V12" i="5"/>
  <c r="V99" i="5" l="1"/>
  <c r="X99" i="5"/>
  <c r="O98" i="4" l="1"/>
  <c r="N98" i="4"/>
  <c r="O85" i="4"/>
  <c r="N85" i="4"/>
  <c r="O66" i="4"/>
  <c r="N66" i="4"/>
  <c r="O56" i="4"/>
  <c r="N56" i="4"/>
  <c r="O41" i="4"/>
  <c r="N41" i="4"/>
  <c r="O19" i="4"/>
  <c r="N19" i="4"/>
  <c r="O12" i="4"/>
  <c r="O99" i="4" s="1"/>
  <c r="N12" i="4"/>
  <c r="H105" i="7"/>
  <c r="AG104" i="7"/>
  <c r="AF104" i="7"/>
  <c r="AD104" i="7"/>
  <c r="W104" i="7"/>
  <c r="U104" i="7"/>
  <c r="T104" i="7"/>
  <c r="R104" i="7"/>
  <c r="Q104" i="7"/>
  <c r="O104" i="7"/>
  <c r="N104" i="7"/>
  <c r="M104" i="7"/>
  <c r="J104" i="7"/>
  <c r="AG91" i="7"/>
  <c r="AF91" i="7"/>
  <c r="AD91" i="7"/>
  <c r="W91" i="7"/>
  <c r="U91" i="7"/>
  <c r="T91" i="7"/>
  <c r="R91" i="7"/>
  <c r="Q91" i="7"/>
  <c r="O91" i="7"/>
  <c r="N91" i="7"/>
  <c r="M91" i="7"/>
  <c r="J91" i="7"/>
  <c r="AG72" i="7"/>
  <c r="AF72" i="7"/>
  <c r="AD72" i="7"/>
  <c r="W72" i="7"/>
  <c r="U72" i="7"/>
  <c r="T72" i="7"/>
  <c r="R72" i="7"/>
  <c r="Q72" i="7"/>
  <c r="O72" i="7"/>
  <c r="N72" i="7"/>
  <c r="M72" i="7"/>
  <c r="J72" i="7"/>
  <c r="AG62" i="7"/>
  <c r="AF62" i="7"/>
  <c r="AD62" i="7"/>
  <c r="W62" i="7"/>
  <c r="U62" i="7"/>
  <c r="T62" i="7"/>
  <c r="R62" i="7"/>
  <c r="Q62" i="7"/>
  <c r="O62" i="7"/>
  <c r="N62" i="7"/>
  <c r="M62" i="7"/>
  <c r="J62" i="7"/>
  <c r="AG47" i="7"/>
  <c r="AF47" i="7"/>
  <c r="AD47" i="7"/>
  <c r="W47" i="7"/>
  <c r="U47" i="7"/>
  <c r="T47" i="7"/>
  <c r="R47" i="7"/>
  <c r="Q47" i="7"/>
  <c r="O47" i="7"/>
  <c r="N47" i="7"/>
  <c r="M47" i="7"/>
  <c r="J47" i="7"/>
  <c r="AG25" i="7"/>
  <c r="AF25" i="7"/>
  <c r="AD25" i="7"/>
  <c r="W25" i="7"/>
  <c r="U25" i="7"/>
  <c r="T25" i="7"/>
  <c r="R25" i="7"/>
  <c r="Q25" i="7"/>
  <c r="O25" i="7"/>
  <c r="N25" i="7"/>
  <c r="M25" i="7"/>
  <c r="J25" i="7"/>
  <c r="AG18" i="7"/>
  <c r="AF18" i="7"/>
  <c r="AD18" i="7"/>
  <c r="W18" i="7"/>
  <c r="U18" i="7"/>
  <c r="T18" i="7"/>
  <c r="R18" i="7"/>
  <c r="Q18" i="7"/>
  <c r="Q105" i="7" s="1"/>
  <c r="O18" i="7"/>
  <c r="N18" i="7"/>
  <c r="M18" i="7"/>
  <c r="J18" i="7"/>
  <c r="AG105" i="7"/>
  <c r="W105" i="7"/>
  <c r="R100" i="11" l="1"/>
  <c r="N99" i="4"/>
  <c r="N105" i="7"/>
  <c r="M105" i="7"/>
  <c r="R105" i="7"/>
  <c r="O105" i="7"/>
  <c r="U105" i="7"/>
  <c r="AF105" i="7"/>
  <c r="S96" i="4"/>
  <c r="S94" i="4"/>
  <c r="S92" i="4"/>
  <c r="S90" i="4"/>
  <c r="S88" i="4"/>
  <c r="S86" i="4"/>
  <c r="S83" i="4"/>
  <c r="S81" i="4"/>
  <c r="S79" i="4"/>
  <c r="S77" i="4"/>
  <c r="S75" i="4"/>
  <c r="S73" i="4"/>
  <c r="S71" i="4"/>
  <c r="S69" i="4"/>
  <c r="S67" i="4"/>
  <c r="S64" i="4"/>
  <c r="S62" i="4"/>
  <c r="S60" i="4"/>
  <c r="S58" i="4"/>
  <c r="S55" i="4"/>
  <c r="S53" i="4"/>
  <c r="S51" i="4"/>
  <c r="S49" i="4"/>
  <c r="S47" i="4"/>
  <c r="S45" i="4"/>
  <c r="S43" i="4"/>
  <c r="S40" i="4"/>
  <c r="S38" i="4"/>
  <c r="S36" i="4"/>
  <c r="S34" i="4"/>
  <c r="S32" i="4"/>
  <c r="S30" i="4"/>
  <c r="S28" i="4"/>
  <c r="S26" i="4"/>
  <c r="S24" i="4"/>
  <c r="S22" i="4"/>
  <c r="S20" i="4"/>
  <c r="S17" i="4"/>
  <c r="S15" i="4"/>
  <c r="S13" i="4"/>
  <c r="S10" i="4"/>
  <c r="S8" i="4"/>
  <c r="S6" i="4"/>
  <c r="S4" i="4"/>
  <c r="S97" i="4"/>
  <c r="S95" i="4"/>
  <c r="S93" i="4"/>
  <c r="S91" i="4"/>
  <c r="S89" i="4"/>
  <c r="S87" i="4"/>
  <c r="S84" i="4"/>
  <c r="S82" i="4"/>
  <c r="S80" i="4"/>
  <c r="S78" i="4"/>
  <c r="S76" i="4"/>
  <c r="S74" i="4"/>
  <c r="S72" i="4"/>
  <c r="S70" i="4"/>
  <c r="S68" i="4"/>
  <c r="S65" i="4"/>
  <c r="S63" i="4"/>
  <c r="S61" i="4"/>
  <c r="S59" i="4"/>
  <c r="S57" i="4"/>
  <c r="S54" i="4"/>
  <c r="S52" i="4"/>
  <c r="S50" i="4"/>
  <c r="S48" i="4"/>
  <c r="S46" i="4"/>
  <c r="S44" i="4"/>
  <c r="S42" i="4"/>
  <c r="S39" i="4"/>
  <c r="S37" i="4"/>
  <c r="S35" i="4"/>
  <c r="S33" i="4"/>
  <c r="S31" i="4"/>
  <c r="S29" i="4"/>
  <c r="S27" i="4"/>
  <c r="S25" i="4"/>
  <c r="S23" i="4"/>
  <c r="S21" i="4"/>
  <c r="S18" i="4"/>
  <c r="S16" i="4"/>
  <c r="S14" i="4"/>
  <c r="S11" i="4"/>
  <c r="S9" i="4"/>
  <c r="S7" i="4"/>
  <c r="S5" i="4"/>
  <c r="AA91" i="7"/>
  <c r="AA47" i="7"/>
  <c r="AA72" i="7"/>
  <c r="AA104" i="7"/>
  <c r="AA25" i="7"/>
  <c r="AA18" i="7"/>
  <c r="AA62" i="7"/>
  <c r="AD105" i="7"/>
  <c r="AE6" i="7" s="1"/>
  <c r="J105" i="7"/>
  <c r="T105" i="7"/>
  <c r="AA105" i="7" l="1"/>
  <c r="S19" i="4"/>
  <c r="S41" i="4"/>
  <c r="S98" i="4"/>
  <c r="S56" i="4"/>
  <c r="S66" i="4"/>
  <c r="S12" i="4"/>
  <c r="S85" i="4"/>
  <c r="S99" i="4" l="1"/>
  <c r="I10" i="7" l="1"/>
  <c r="F5" i="11" s="1"/>
  <c r="I11" i="7"/>
  <c r="F6" i="11" s="1"/>
  <c r="I12" i="7"/>
  <c r="F7" i="11" s="1"/>
  <c r="I13" i="7"/>
  <c r="F8" i="11" s="1"/>
  <c r="I14" i="7"/>
  <c r="F9" i="11" s="1"/>
  <c r="I15" i="7"/>
  <c r="F10" i="11" s="1"/>
  <c r="I16" i="7"/>
  <c r="F11" i="11" s="1"/>
  <c r="I17" i="7"/>
  <c r="F12" i="11" s="1"/>
  <c r="I19" i="7"/>
  <c r="F14" i="11" s="1"/>
  <c r="I20" i="7"/>
  <c r="F15" i="11" s="1"/>
  <c r="I21" i="7"/>
  <c r="F16" i="11" s="1"/>
  <c r="I22" i="7"/>
  <c r="F17" i="11" s="1"/>
  <c r="I23" i="7"/>
  <c r="F18" i="11" s="1"/>
  <c r="I24" i="7"/>
  <c r="F19" i="11" s="1"/>
  <c r="I26" i="7"/>
  <c r="F21" i="11" s="1"/>
  <c r="I27" i="7"/>
  <c r="F22" i="11" s="1"/>
  <c r="I28" i="7"/>
  <c r="F23" i="11" s="1"/>
  <c r="I29" i="7"/>
  <c r="F24" i="11" s="1"/>
  <c r="I30" i="7"/>
  <c r="F25" i="11" s="1"/>
  <c r="I31" i="7"/>
  <c r="F26" i="11" s="1"/>
  <c r="I32" i="7"/>
  <c r="F27" i="11" s="1"/>
  <c r="I33" i="7"/>
  <c r="F28" i="11" s="1"/>
  <c r="I34" i="7"/>
  <c r="F29" i="11" s="1"/>
  <c r="I35" i="7"/>
  <c r="F30" i="11" s="1"/>
  <c r="I36" i="7"/>
  <c r="F31" i="11" s="1"/>
  <c r="I37" i="7"/>
  <c r="F32" i="11" s="1"/>
  <c r="I38" i="7"/>
  <c r="F33" i="11" s="1"/>
  <c r="I39" i="7"/>
  <c r="F34" i="11" s="1"/>
  <c r="I40" i="7"/>
  <c r="F35" i="11" s="1"/>
  <c r="I41" i="7"/>
  <c r="F36" i="11" s="1"/>
  <c r="I42" i="7"/>
  <c r="F37" i="11" s="1"/>
  <c r="I43" i="7"/>
  <c r="F38" i="11" s="1"/>
  <c r="I44" i="7"/>
  <c r="F39" i="11" s="1"/>
  <c r="I45" i="7"/>
  <c r="F40" i="11" s="1"/>
  <c r="I46" i="7"/>
  <c r="F41" i="11" s="1"/>
  <c r="I48" i="7"/>
  <c r="F43" i="11" s="1"/>
  <c r="I49" i="7"/>
  <c r="F44" i="11" s="1"/>
  <c r="I50" i="7"/>
  <c r="F45" i="11" s="1"/>
  <c r="I51" i="7"/>
  <c r="F46" i="11" s="1"/>
  <c r="I52" i="7"/>
  <c r="F47" i="11" s="1"/>
  <c r="I53" i="7"/>
  <c r="F48" i="11" s="1"/>
  <c r="I54" i="7"/>
  <c r="F49" i="11" s="1"/>
  <c r="I55" i="7"/>
  <c r="F50" i="11" s="1"/>
  <c r="I56" i="7"/>
  <c r="F51" i="11" s="1"/>
  <c r="I57" i="7"/>
  <c r="F52" i="11" s="1"/>
  <c r="I58" i="7"/>
  <c r="F53" i="11" s="1"/>
  <c r="I59" i="7"/>
  <c r="F54" i="11" s="1"/>
  <c r="I60" i="7"/>
  <c r="F55" i="11" s="1"/>
  <c r="I61" i="7"/>
  <c r="F56" i="11" s="1"/>
  <c r="I63" i="7"/>
  <c r="F58" i="11" s="1"/>
  <c r="I64" i="7"/>
  <c r="F59" i="11" s="1"/>
  <c r="I65" i="7"/>
  <c r="F60" i="11" s="1"/>
  <c r="I66" i="7"/>
  <c r="F61" i="11" s="1"/>
  <c r="I67" i="7"/>
  <c r="F62" i="11" s="1"/>
  <c r="I68" i="7"/>
  <c r="F63" i="11" s="1"/>
  <c r="I69" i="7"/>
  <c r="F64" i="11" s="1"/>
  <c r="I70" i="7"/>
  <c r="F65" i="11" s="1"/>
  <c r="I71" i="7"/>
  <c r="F66" i="11" s="1"/>
  <c r="I73" i="7"/>
  <c r="F68" i="11" s="1"/>
  <c r="I74" i="7"/>
  <c r="F69" i="11" s="1"/>
  <c r="I75" i="7"/>
  <c r="F70" i="11" s="1"/>
  <c r="I76" i="7"/>
  <c r="F71" i="11" s="1"/>
  <c r="I77" i="7"/>
  <c r="F72" i="11" s="1"/>
  <c r="I78" i="7"/>
  <c r="F73" i="11" s="1"/>
  <c r="I79" i="7"/>
  <c r="F74" i="11" s="1"/>
  <c r="I80" i="7"/>
  <c r="F75" i="11" s="1"/>
  <c r="I81" i="7"/>
  <c r="F76" i="11" s="1"/>
  <c r="I82" i="7"/>
  <c r="F77" i="11" s="1"/>
  <c r="I83" i="7"/>
  <c r="F78" i="11" s="1"/>
  <c r="I84" i="7"/>
  <c r="F79" i="11" s="1"/>
  <c r="I85" i="7"/>
  <c r="F80" i="11" s="1"/>
  <c r="I86" i="7"/>
  <c r="F81" i="11" s="1"/>
  <c r="I87" i="7"/>
  <c r="F82" i="11" s="1"/>
  <c r="I88" i="7"/>
  <c r="F83" i="11" s="1"/>
  <c r="I89" i="7"/>
  <c r="F84" i="11" s="1"/>
  <c r="I90" i="7"/>
  <c r="F85" i="11" s="1"/>
  <c r="I92" i="7"/>
  <c r="F87" i="11" s="1"/>
  <c r="I93" i="7"/>
  <c r="F88" i="11" s="1"/>
  <c r="I94" i="7"/>
  <c r="F89" i="11" s="1"/>
  <c r="I95" i="7"/>
  <c r="F90" i="11" s="1"/>
  <c r="I96" i="7"/>
  <c r="F91" i="11" s="1"/>
  <c r="I97" i="7"/>
  <c r="F92" i="11" s="1"/>
  <c r="I98" i="7"/>
  <c r="F93" i="11" s="1"/>
  <c r="I99" i="7"/>
  <c r="F94" i="11" s="1"/>
  <c r="I100" i="7"/>
  <c r="F95" i="11" s="1"/>
  <c r="I101" i="7"/>
  <c r="F96" i="11" s="1"/>
  <c r="I102" i="7"/>
  <c r="F97" i="11" s="1"/>
  <c r="I103" i="7"/>
  <c r="F98" i="11" s="1"/>
  <c r="H98" i="5"/>
  <c r="H85" i="5"/>
  <c r="H66" i="5"/>
  <c r="H56" i="5"/>
  <c r="H41" i="5"/>
  <c r="H19" i="5"/>
  <c r="H12" i="5"/>
  <c r="C11" i="6"/>
  <c r="C9" i="6"/>
  <c r="C7" i="6"/>
  <c r="C5" i="6"/>
  <c r="C4" i="6"/>
  <c r="C3" i="6"/>
  <c r="R98" i="4"/>
  <c r="Q98" i="4"/>
  <c r="P98" i="4"/>
  <c r="M98" i="4"/>
  <c r="L98" i="4"/>
  <c r="K98" i="4"/>
  <c r="J98" i="4"/>
  <c r="G98" i="4"/>
  <c r="R85" i="4"/>
  <c r="Q85" i="4"/>
  <c r="P85" i="4"/>
  <c r="M85" i="4"/>
  <c r="L85" i="4"/>
  <c r="K85" i="4"/>
  <c r="J85" i="4"/>
  <c r="G85" i="4"/>
  <c r="R66" i="4"/>
  <c r="Q66" i="4"/>
  <c r="P66" i="4"/>
  <c r="M66" i="4"/>
  <c r="L66" i="4"/>
  <c r="K66" i="4"/>
  <c r="J66" i="4"/>
  <c r="G66" i="4"/>
  <c r="R56" i="4"/>
  <c r="Q56" i="4"/>
  <c r="P56" i="4"/>
  <c r="M56" i="4"/>
  <c r="L56" i="4"/>
  <c r="K56" i="4"/>
  <c r="J56" i="4"/>
  <c r="G56" i="4"/>
  <c r="R41" i="4"/>
  <c r="Q41" i="4"/>
  <c r="P41" i="4"/>
  <c r="M41" i="4"/>
  <c r="L41" i="4"/>
  <c r="K41" i="4"/>
  <c r="J41" i="4"/>
  <c r="G41" i="4"/>
  <c r="R19" i="4"/>
  <c r="Q19" i="4"/>
  <c r="P19" i="4"/>
  <c r="M19" i="4"/>
  <c r="L19" i="4"/>
  <c r="K19" i="4"/>
  <c r="J19" i="4"/>
  <c r="G19" i="4"/>
  <c r="R12" i="4"/>
  <c r="Q12" i="4"/>
  <c r="Q99" i="4" s="1"/>
  <c r="P12" i="4"/>
  <c r="M12" i="4"/>
  <c r="L12" i="4"/>
  <c r="K12" i="4"/>
  <c r="J12" i="4"/>
  <c r="G12" i="4"/>
  <c r="G99" i="4"/>
  <c r="H99" i="5" l="1"/>
  <c r="M99" i="4"/>
  <c r="J99" i="4"/>
  <c r="R99" i="4"/>
  <c r="K99" i="4"/>
  <c r="L99" i="4"/>
  <c r="P99" i="4"/>
  <c r="C6" i="6" l="1"/>
  <c r="AH72" i="7" l="1"/>
  <c r="AH104" i="7"/>
  <c r="AH25" i="7"/>
  <c r="AH18" i="7"/>
  <c r="AH62" i="7"/>
  <c r="AH91" i="7"/>
  <c r="AH47" i="7"/>
  <c r="AE7" i="7" l="1"/>
  <c r="O100" i="11" l="1"/>
  <c r="AH105" i="7"/>
  <c r="P7" i="7" l="1"/>
  <c r="P12" i="7" l="1"/>
  <c r="S12" i="7" s="1"/>
  <c r="I7" i="11" s="1"/>
  <c r="P16" i="7"/>
  <c r="S16" i="7" s="1"/>
  <c r="I11" i="11" s="1"/>
  <c r="P21" i="7"/>
  <c r="S21" i="7" s="1"/>
  <c r="I16" i="11" s="1"/>
  <c r="P26" i="7"/>
  <c r="S26" i="7" s="1"/>
  <c r="I21" i="11" s="1"/>
  <c r="P30" i="7"/>
  <c r="S30" i="7" s="1"/>
  <c r="I25" i="11" s="1"/>
  <c r="P34" i="7"/>
  <c r="S34" i="7" s="1"/>
  <c r="I29" i="11" s="1"/>
  <c r="P38" i="7"/>
  <c r="S38" i="7" s="1"/>
  <c r="I33" i="11" s="1"/>
  <c r="P42" i="7"/>
  <c r="S42" i="7" s="1"/>
  <c r="I37" i="11" s="1"/>
  <c r="P46" i="7"/>
  <c r="S46" i="7" s="1"/>
  <c r="I41" i="11" s="1"/>
  <c r="P51" i="7"/>
  <c r="S51" i="7" s="1"/>
  <c r="I46" i="11" s="1"/>
  <c r="P55" i="7"/>
  <c r="S55" i="7" s="1"/>
  <c r="I50" i="11" s="1"/>
  <c r="P59" i="7"/>
  <c r="S59" i="7" s="1"/>
  <c r="I54" i="11" s="1"/>
  <c r="P64" i="7"/>
  <c r="S64" i="7" s="1"/>
  <c r="I59" i="11" s="1"/>
  <c r="P68" i="7"/>
  <c r="S68" i="7" s="1"/>
  <c r="I63" i="11" s="1"/>
  <c r="P73" i="7"/>
  <c r="S73" i="7" s="1"/>
  <c r="I68" i="11" s="1"/>
  <c r="P77" i="7"/>
  <c r="S77" i="7" s="1"/>
  <c r="I72" i="11" s="1"/>
  <c r="P81" i="7"/>
  <c r="S81" i="7" s="1"/>
  <c r="I76" i="11" s="1"/>
  <c r="P85" i="7"/>
  <c r="S85" i="7" s="1"/>
  <c r="I80" i="11" s="1"/>
  <c r="P89" i="7"/>
  <c r="S89" i="7" s="1"/>
  <c r="I84" i="11" s="1"/>
  <c r="P94" i="7"/>
  <c r="S94" i="7" s="1"/>
  <c r="I89" i="11" s="1"/>
  <c r="P98" i="7"/>
  <c r="S98" i="7" s="1"/>
  <c r="I93" i="11" s="1"/>
  <c r="P102" i="7"/>
  <c r="S102" i="7" s="1"/>
  <c r="I97" i="11" s="1"/>
  <c r="P13" i="7"/>
  <c r="S13" i="7" s="1"/>
  <c r="I8" i="11" s="1"/>
  <c r="P17" i="7"/>
  <c r="S17" i="7" s="1"/>
  <c r="I12" i="11" s="1"/>
  <c r="P22" i="7"/>
  <c r="S22" i="7" s="1"/>
  <c r="I17" i="11" s="1"/>
  <c r="P27" i="7"/>
  <c r="S27" i="7" s="1"/>
  <c r="I22" i="11" s="1"/>
  <c r="P31" i="7"/>
  <c r="S31" i="7" s="1"/>
  <c r="I26" i="11" s="1"/>
  <c r="P35" i="7"/>
  <c r="S35" i="7" s="1"/>
  <c r="I30" i="11" s="1"/>
  <c r="P39" i="7"/>
  <c r="S39" i="7" s="1"/>
  <c r="I34" i="11" s="1"/>
  <c r="P43" i="7"/>
  <c r="S43" i="7" s="1"/>
  <c r="I38" i="11" s="1"/>
  <c r="P48" i="7"/>
  <c r="S48" i="7" s="1"/>
  <c r="I43" i="11" s="1"/>
  <c r="P52" i="7"/>
  <c r="S52" i="7" s="1"/>
  <c r="I47" i="11" s="1"/>
  <c r="P56" i="7"/>
  <c r="S56" i="7" s="1"/>
  <c r="I51" i="11" s="1"/>
  <c r="P60" i="7"/>
  <c r="S60" i="7" s="1"/>
  <c r="I55" i="11" s="1"/>
  <c r="P65" i="7"/>
  <c r="S65" i="7" s="1"/>
  <c r="I60" i="11" s="1"/>
  <c r="P69" i="7"/>
  <c r="S69" i="7" s="1"/>
  <c r="I64" i="11" s="1"/>
  <c r="P74" i="7"/>
  <c r="S74" i="7" s="1"/>
  <c r="I69" i="11" s="1"/>
  <c r="P78" i="7"/>
  <c r="S78" i="7" s="1"/>
  <c r="I73" i="11" s="1"/>
  <c r="P82" i="7"/>
  <c r="S82" i="7" s="1"/>
  <c r="I77" i="11" s="1"/>
  <c r="P86" i="7"/>
  <c r="S86" i="7" s="1"/>
  <c r="I81" i="11" s="1"/>
  <c r="P90" i="7"/>
  <c r="S90" i="7" s="1"/>
  <c r="I85" i="11" s="1"/>
  <c r="P95" i="7"/>
  <c r="S95" i="7" s="1"/>
  <c r="I90" i="11" s="1"/>
  <c r="P99" i="7"/>
  <c r="S99" i="7" s="1"/>
  <c r="I94" i="11" s="1"/>
  <c r="P103" i="7"/>
  <c r="S103" i="7" s="1"/>
  <c r="I98" i="11" s="1"/>
  <c r="P10" i="7"/>
  <c r="S10" i="7" s="1"/>
  <c r="I5" i="11" s="1"/>
  <c r="P14" i="7"/>
  <c r="S14" i="7" s="1"/>
  <c r="I9" i="11" s="1"/>
  <c r="P19" i="7"/>
  <c r="S19" i="7" s="1"/>
  <c r="I14" i="11" s="1"/>
  <c r="P23" i="7"/>
  <c r="S23" i="7" s="1"/>
  <c r="I18" i="11" s="1"/>
  <c r="P28" i="7"/>
  <c r="S28" i="7" s="1"/>
  <c r="I23" i="11" s="1"/>
  <c r="P32" i="7"/>
  <c r="S32" i="7" s="1"/>
  <c r="I27" i="11" s="1"/>
  <c r="P36" i="7"/>
  <c r="S36" i="7" s="1"/>
  <c r="I31" i="11" s="1"/>
  <c r="P40" i="7"/>
  <c r="S40" i="7" s="1"/>
  <c r="I35" i="11" s="1"/>
  <c r="P44" i="7"/>
  <c r="S44" i="7" s="1"/>
  <c r="I39" i="11" s="1"/>
  <c r="P49" i="7"/>
  <c r="S49" i="7" s="1"/>
  <c r="I44" i="11" s="1"/>
  <c r="P53" i="7"/>
  <c r="S53" i="7" s="1"/>
  <c r="I48" i="11" s="1"/>
  <c r="P57" i="7"/>
  <c r="S57" i="7" s="1"/>
  <c r="I52" i="11" s="1"/>
  <c r="P61" i="7"/>
  <c r="S61" i="7" s="1"/>
  <c r="I56" i="11" s="1"/>
  <c r="P66" i="7"/>
  <c r="S66" i="7" s="1"/>
  <c r="I61" i="11" s="1"/>
  <c r="P70" i="7"/>
  <c r="S70" i="7" s="1"/>
  <c r="I65" i="11" s="1"/>
  <c r="P75" i="7"/>
  <c r="S75" i="7" s="1"/>
  <c r="I70" i="11" s="1"/>
  <c r="P79" i="7"/>
  <c r="S79" i="7" s="1"/>
  <c r="I74" i="11" s="1"/>
  <c r="P83" i="7"/>
  <c r="S83" i="7" s="1"/>
  <c r="I78" i="11" s="1"/>
  <c r="P87" i="7"/>
  <c r="S87" i="7" s="1"/>
  <c r="I82" i="11" s="1"/>
  <c r="P92" i="7"/>
  <c r="S92" i="7" s="1"/>
  <c r="I87" i="11" s="1"/>
  <c r="P96" i="7"/>
  <c r="S96" i="7" s="1"/>
  <c r="I91" i="11" s="1"/>
  <c r="P100" i="7"/>
  <c r="S100" i="7" s="1"/>
  <c r="I95" i="11" s="1"/>
  <c r="P11" i="7"/>
  <c r="S11" i="7" s="1"/>
  <c r="I6" i="11" s="1"/>
  <c r="P15" i="7"/>
  <c r="S15" i="7" s="1"/>
  <c r="I10" i="11" s="1"/>
  <c r="P20" i="7"/>
  <c r="S20" i="7" s="1"/>
  <c r="I15" i="11" s="1"/>
  <c r="P24" i="7"/>
  <c r="S24" i="7" s="1"/>
  <c r="I19" i="11" s="1"/>
  <c r="P29" i="7"/>
  <c r="S29" i="7" s="1"/>
  <c r="I24" i="11" s="1"/>
  <c r="P33" i="7"/>
  <c r="S33" i="7" s="1"/>
  <c r="I28" i="11" s="1"/>
  <c r="P37" i="7"/>
  <c r="S37" i="7" s="1"/>
  <c r="I32" i="11" s="1"/>
  <c r="P41" i="7"/>
  <c r="S41" i="7" s="1"/>
  <c r="I36" i="11" s="1"/>
  <c r="P45" i="7"/>
  <c r="S45" i="7" s="1"/>
  <c r="I40" i="11" s="1"/>
  <c r="P50" i="7"/>
  <c r="S50" i="7" s="1"/>
  <c r="I45" i="11" s="1"/>
  <c r="P54" i="7"/>
  <c r="S54" i="7" s="1"/>
  <c r="I49" i="11" s="1"/>
  <c r="P58" i="7"/>
  <c r="S58" i="7" s="1"/>
  <c r="I53" i="11" s="1"/>
  <c r="P63" i="7"/>
  <c r="S63" i="7" s="1"/>
  <c r="I58" i="11" s="1"/>
  <c r="P67" i="7"/>
  <c r="S67" i="7" s="1"/>
  <c r="I62" i="11" s="1"/>
  <c r="P71" i="7"/>
  <c r="S71" i="7" s="1"/>
  <c r="I66" i="11" s="1"/>
  <c r="P76" i="7"/>
  <c r="S76" i="7" s="1"/>
  <c r="I71" i="11" s="1"/>
  <c r="P80" i="7"/>
  <c r="S80" i="7" s="1"/>
  <c r="I75" i="11" s="1"/>
  <c r="P84" i="7"/>
  <c r="S84" i="7" s="1"/>
  <c r="I79" i="11" s="1"/>
  <c r="P88" i="7"/>
  <c r="S88" i="7" s="1"/>
  <c r="I83" i="11" s="1"/>
  <c r="P93" i="7"/>
  <c r="S93" i="7" s="1"/>
  <c r="I88" i="11" s="1"/>
  <c r="P97" i="7"/>
  <c r="S97" i="7" s="1"/>
  <c r="I92" i="11" s="1"/>
  <c r="P101" i="7"/>
  <c r="S101" i="7" s="1"/>
  <c r="I96" i="11" s="1"/>
  <c r="F15" i="6"/>
  <c r="I67" i="11" l="1"/>
  <c r="I42" i="11"/>
  <c r="I13" i="11"/>
  <c r="I86" i="11"/>
  <c r="I99" i="11"/>
  <c r="I57" i="11"/>
  <c r="I20" i="11"/>
  <c r="V97" i="7"/>
  <c r="J92" i="11" s="1"/>
  <c r="V80" i="7"/>
  <c r="J75" i="11" s="1"/>
  <c r="S72" i="7"/>
  <c r="V63" i="7"/>
  <c r="J58" i="11" s="1"/>
  <c r="V45" i="7"/>
  <c r="J40" i="11" s="1"/>
  <c r="V29" i="7"/>
  <c r="J24" i="11" s="1"/>
  <c r="V11" i="7"/>
  <c r="J6" i="11" s="1"/>
  <c r="V100" i="7"/>
  <c r="J95" i="11" s="1"/>
  <c r="V83" i="7"/>
  <c r="J78" i="11" s="1"/>
  <c r="V66" i="7"/>
  <c r="J61" i="11" s="1"/>
  <c r="V49" i="7"/>
  <c r="J44" i="11" s="1"/>
  <c r="V32" i="7"/>
  <c r="J27" i="11" s="1"/>
  <c r="V14" i="7"/>
  <c r="J9" i="11" s="1"/>
  <c r="V90" i="7"/>
  <c r="J85" i="11" s="1"/>
  <c r="V74" i="7"/>
  <c r="J69" i="11" s="1"/>
  <c r="V56" i="7"/>
  <c r="J51" i="11" s="1"/>
  <c r="V39" i="7"/>
  <c r="J34" i="11" s="1"/>
  <c r="V22" i="7"/>
  <c r="J17" i="11" s="1"/>
  <c r="V94" i="7"/>
  <c r="J89" i="11" s="1"/>
  <c r="V77" i="7"/>
  <c r="J72" i="11" s="1"/>
  <c r="V59" i="7"/>
  <c r="J54" i="11" s="1"/>
  <c r="V42" i="7"/>
  <c r="J37" i="11" s="1"/>
  <c r="V26" i="7"/>
  <c r="J21" i="11" s="1"/>
  <c r="S47" i="7"/>
  <c r="V93" i="7"/>
  <c r="J88" i="11" s="1"/>
  <c r="V76" i="7"/>
  <c r="J71" i="11" s="1"/>
  <c r="V58" i="7"/>
  <c r="J53" i="11" s="1"/>
  <c r="V41" i="7"/>
  <c r="J36" i="11" s="1"/>
  <c r="V24" i="7"/>
  <c r="J19" i="11" s="1"/>
  <c r="V96" i="7"/>
  <c r="J91" i="11" s="1"/>
  <c r="V79" i="7"/>
  <c r="J74" i="11" s="1"/>
  <c r="V61" i="7"/>
  <c r="J56" i="11" s="1"/>
  <c r="V44" i="7"/>
  <c r="J39" i="11" s="1"/>
  <c r="V28" i="7"/>
  <c r="J23" i="11" s="1"/>
  <c r="V10" i="7"/>
  <c r="J5" i="11" s="1"/>
  <c r="S18" i="7"/>
  <c r="V103" i="7"/>
  <c r="J98" i="11" s="1"/>
  <c r="V86" i="7"/>
  <c r="J81" i="11" s="1"/>
  <c r="V69" i="7"/>
  <c r="J64" i="11" s="1"/>
  <c r="V52" i="7"/>
  <c r="J47" i="11" s="1"/>
  <c r="V35" i="7"/>
  <c r="J30" i="11" s="1"/>
  <c r="V17" i="7"/>
  <c r="J12" i="11" s="1"/>
  <c r="V89" i="7"/>
  <c r="J84" i="11" s="1"/>
  <c r="V73" i="7"/>
  <c r="J68" i="11" s="1"/>
  <c r="S91" i="7"/>
  <c r="V55" i="7"/>
  <c r="J50" i="11" s="1"/>
  <c r="V38" i="7"/>
  <c r="J33" i="11" s="1"/>
  <c r="V21" i="7"/>
  <c r="J16" i="11" s="1"/>
  <c r="V88" i="7"/>
  <c r="J83" i="11" s="1"/>
  <c r="V71" i="7"/>
  <c r="J66" i="11" s="1"/>
  <c r="V54" i="7"/>
  <c r="J49" i="11" s="1"/>
  <c r="V37" i="7"/>
  <c r="J32" i="11" s="1"/>
  <c r="V20" i="7"/>
  <c r="J15" i="11" s="1"/>
  <c r="V92" i="7"/>
  <c r="J87" i="11" s="1"/>
  <c r="S104" i="7"/>
  <c r="V75" i="7"/>
  <c r="J70" i="11" s="1"/>
  <c r="V57" i="7"/>
  <c r="J52" i="11" s="1"/>
  <c r="V40" i="7"/>
  <c r="J35" i="11" s="1"/>
  <c r="V23" i="7"/>
  <c r="J18" i="11" s="1"/>
  <c r="V99" i="7"/>
  <c r="J94" i="11" s="1"/>
  <c r="V82" i="7"/>
  <c r="J77" i="11" s="1"/>
  <c r="V65" i="7"/>
  <c r="J60" i="11" s="1"/>
  <c r="V48" i="7"/>
  <c r="J43" i="11" s="1"/>
  <c r="S62" i="7"/>
  <c r="V31" i="7"/>
  <c r="J26" i="11" s="1"/>
  <c r="V13" i="7"/>
  <c r="J8" i="11" s="1"/>
  <c r="V102" i="7"/>
  <c r="J97" i="11" s="1"/>
  <c r="V85" i="7"/>
  <c r="J80" i="11" s="1"/>
  <c r="V68" i="7"/>
  <c r="J63" i="11" s="1"/>
  <c r="V51" i="7"/>
  <c r="J46" i="11" s="1"/>
  <c r="V34" i="7"/>
  <c r="J29" i="11" s="1"/>
  <c r="V16" i="7"/>
  <c r="J11" i="11" s="1"/>
  <c r="V101" i="7"/>
  <c r="J96" i="11" s="1"/>
  <c r="V84" i="7"/>
  <c r="J79" i="11" s="1"/>
  <c r="V67" i="7"/>
  <c r="J62" i="11" s="1"/>
  <c r="V50" i="7"/>
  <c r="J45" i="11" s="1"/>
  <c r="V33" i="7"/>
  <c r="J28" i="11" s="1"/>
  <c r="V15" i="7"/>
  <c r="J10" i="11" s="1"/>
  <c r="V87" i="7"/>
  <c r="J82" i="11" s="1"/>
  <c r="V70" i="7"/>
  <c r="J65" i="11" s="1"/>
  <c r="V53" i="7"/>
  <c r="J48" i="11" s="1"/>
  <c r="V36" i="7"/>
  <c r="J31" i="11" s="1"/>
  <c r="V19" i="7"/>
  <c r="J14" i="11" s="1"/>
  <c r="J20" i="11" s="1"/>
  <c r="S25" i="7"/>
  <c r="V95" i="7"/>
  <c r="J90" i="11" s="1"/>
  <c r="V78" i="7"/>
  <c r="J73" i="11" s="1"/>
  <c r="V60" i="7"/>
  <c r="J55" i="11" s="1"/>
  <c r="V43" i="7"/>
  <c r="J38" i="11" s="1"/>
  <c r="V27" i="7"/>
  <c r="J22" i="11" s="1"/>
  <c r="V98" i="7"/>
  <c r="J93" i="11" s="1"/>
  <c r="V81" i="7"/>
  <c r="J76" i="11" s="1"/>
  <c r="V64" i="7"/>
  <c r="J59" i="11" s="1"/>
  <c r="V46" i="7"/>
  <c r="J41" i="11" s="1"/>
  <c r="V30" i="7"/>
  <c r="J25" i="11" s="1"/>
  <c r="V12" i="7"/>
  <c r="J7" i="11" s="1"/>
  <c r="I100" i="11" l="1"/>
  <c r="J57" i="11"/>
  <c r="J13" i="11"/>
  <c r="J99" i="11"/>
  <c r="J42" i="11"/>
  <c r="J86" i="11"/>
  <c r="J67" i="11"/>
  <c r="X19" i="7"/>
  <c r="L14" i="11" s="1"/>
  <c r="V25" i="7"/>
  <c r="X53" i="7"/>
  <c r="L48" i="11" s="1"/>
  <c r="X87" i="7"/>
  <c r="L82" i="11" s="1"/>
  <c r="X12" i="7"/>
  <c r="L7" i="11" s="1"/>
  <c r="X46" i="7"/>
  <c r="L41" i="11" s="1"/>
  <c r="X81" i="7"/>
  <c r="L76" i="11" s="1"/>
  <c r="X33" i="7"/>
  <c r="L28" i="11" s="1"/>
  <c r="X67" i="7"/>
  <c r="L62" i="11" s="1"/>
  <c r="X101" i="7"/>
  <c r="L96" i="11" s="1"/>
  <c r="X34" i="7"/>
  <c r="L29" i="11" s="1"/>
  <c r="X68" i="7"/>
  <c r="L63" i="11" s="1"/>
  <c r="X102" i="7"/>
  <c r="L97" i="11" s="1"/>
  <c r="X65" i="7"/>
  <c r="L60" i="11" s="1"/>
  <c r="X99" i="7"/>
  <c r="L94" i="11" s="1"/>
  <c r="X37" i="7"/>
  <c r="L32" i="11" s="1"/>
  <c r="X71" i="7"/>
  <c r="L66" i="11" s="1"/>
  <c r="X73" i="7"/>
  <c r="L68" i="11" s="1"/>
  <c r="V91" i="7"/>
  <c r="X35" i="7"/>
  <c r="L30" i="11" s="1"/>
  <c r="X69" i="7"/>
  <c r="L64" i="11" s="1"/>
  <c r="X103" i="7"/>
  <c r="L98" i="11" s="1"/>
  <c r="X10" i="7"/>
  <c r="L5" i="11" s="1"/>
  <c r="V18" i="7"/>
  <c r="X44" i="7"/>
  <c r="L39" i="11" s="1"/>
  <c r="X79" i="7"/>
  <c r="L74" i="11" s="1"/>
  <c r="X22" i="7"/>
  <c r="L17" i="11" s="1"/>
  <c r="X56" i="7"/>
  <c r="L51" i="11" s="1"/>
  <c r="X90" i="7"/>
  <c r="L85" i="11" s="1"/>
  <c r="X32" i="7"/>
  <c r="L27" i="11" s="1"/>
  <c r="X66" i="7"/>
  <c r="L61" i="11" s="1"/>
  <c r="X100" i="7"/>
  <c r="L95" i="11" s="1"/>
  <c r="X80" i="7"/>
  <c r="L75" i="11" s="1"/>
  <c r="X27" i="7"/>
  <c r="L22" i="11" s="1"/>
  <c r="X95" i="7"/>
  <c r="L90" i="11" s="1"/>
  <c r="X36" i="7"/>
  <c r="L31" i="11" s="1"/>
  <c r="X70" i="7"/>
  <c r="L65" i="11" s="1"/>
  <c r="X13" i="7"/>
  <c r="L8" i="11" s="1"/>
  <c r="X23" i="7"/>
  <c r="L18" i="11" s="1"/>
  <c r="X57" i="7"/>
  <c r="L52" i="11" s="1"/>
  <c r="X21" i="7"/>
  <c r="L16" i="11" s="1"/>
  <c r="X55" i="7"/>
  <c r="L50" i="11" s="1"/>
  <c r="X41" i="7"/>
  <c r="L36" i="11" s="1"/>
  <c r="X76" i="7"/>
  <c r="L71" i="11" s="1"/>
  <c r="X42" i="7"/>
  <c r="L37" i="11" s="1"/>
  <c r="X77" i="7"/>
  <c r="L72" i="11" s="1"/>
  <c r="X29" i="7"/>
  <c r="L24" i="11" s="1"/>
  <c r="X63" i="7"/>
  <c r="L58" i="11" s="1"/>
  <c r="V72" i="7"/>
  <c r="X60" i="7"/>
  <c r="L55" i="11" s="1"/>
  <c r="X30" i="7"/>
  <c r="L25" i="11" s="1"/>
  <c r="X64" i="7"/>
  <c r="L59" i="11" s="1"/>
  <c r="X98" i="7"/>
  <c r="L93" i="11" s="1"/>
  <c r="X15" i="7"/>
  <c r="L10" i="11" s="1"/>
  <c r="X50" i="7"/>
  <c r="L45" i="11" s="1"/>
  <c r="X84" i="7"/>
  <c r="L79" i="11" s="1"/>
  <c r="X16" i="7"/>
  <c r="L11" i="11" s="1"/>
  <c r="X51" i="7"/>
  <c r="L46" i="11" s="1"/>
  <c r="X85" i="7"/>
  <c r="L80" i="11" s="1"/>
  <c r="X48" i="7"/>
  <c r="L43" i="11" s="1"/>
  <c r="V62" i="7"/>
  <c r="X82" i="7"/>
  <c r="L77" i="11" s="1"/>
  <c r="X92" i="7"/>
  <c r="L87" i="11" s="1"/>
  <c r="V104" i="7"/>
  <c r="X20" i="7"/>
  <c r="L15" i="11" s="1"/>
  <c r="X54" i="7"/>
  <c r="L49" i="11" s="1"/>
  <c r="X88" i="7"/>
  <c r="L83" i="11" s="1"/>
  <c r="X89" i="7"/>
  <c r="L84" i="11" s="1"/>
  <c r="X17" i="7"/>
  <c r="L12" i="11" s="1"/>
  <c r="X52" i="7"/>
  <c r="L47" i="11" s="1"/>
  <c r="X86" i="7"/>
  <c r="L81" i="11" s="1"/>
  <c r="X28" i="7"/>
  <c r="L23" i="11" s="1"/>
  <c r="X61" i="7"/>
  <c r="L56" i="11" s="1"/>
  <c r="X96" i="7"/>
  <c r="L91" i="11" s="1"/>
  <c r="X39" i="7"/>
  <c r="L34" i="11" s="1"/>
  <c r="X74" i="7"/>
  <c r="L69" i="11" s="1"/>
  <c r="X14" i="7"/>
  <c r="L9" i="11" s="1"/>
  <c r="X49" i="7"/>
  <c r="L44" i="11" s="1"/>
  <c r="X83" i="7"/>
  <c r="L78" i="11" s="1"/>
  <c r="X97" i="7"/>
  <c r="L92" i="11" s="1"/>
  <c r="X43" i="7"/>
  <c r="L38" i="11" s="1"/>
  <c r="X78" i="7"/>
  <c r="L73" i="11" s="1"/>
  <c r="X31" i="7"/>
  <c r="L26" i="11" s="1"/>
  <c r="X40" i="7"/>
  <c r="L35" i="11" s="1"/>
  <c r="X75" i="7"/>
  <c r="L70" i="11" s="1"/>
  <c r="X38" i="7"/>
  <c r="L33" i="11" s="1"/>
  <c r="X24" i="7"/>
  <c r="L19" i="11" s="1"/>
  <c r="X58" i="7"/>
  <c r="L53" i="11" s="1"/>
  <c r="X93" i="7"/>
  <c r="L88" i="11" s="1"/>
  <c r="X26" i="7"/>
  <c r="L21" i="11" s="1"/>
  <c r="V47" i="7"/>
  <c r="X59" i="7"/>
  <c r="L54" i="11" s="1"/>
  <c r="X94" i="7"/>
  <c r="L89" i="11" s="1"/>
  <c r="X11" i="7"/>
  <c r="L6" i="11" s="1"/>
  <c r="X45" i="7"/>
  <c r="L40" i="11" s="1"/>
  <c r="C8" i="6"/>
  <c r="C10" i="6" s="1"/>
  <c r="C12" i="6" s="1"/>
  <c r="J100" i="11" l="1"/>
  <c r="L57" i="11"/>
  <c r="L67" i="11"/>
  <c r="L42" i="11"/>
  <c r="L99" i="11"/>
  <c r="L13" i="11"/>
  <c r="L86" i="11"/>
  <c r="L20" i="11"/>
  <c r="S105" i="7"/>
  <c r="Z11" i="7"/>
  <c r="N6" i="11" s="1"/>
  <c r="Z94" i="7"/>
  <c r="N89" i="11" s="1"/>
  <c r="Z38" i="7"/>
  <c r="N33" i="11" s="1"/>
  <c r="Z40" i="7"/>
  <c r="N35" i="11" s="1"/>
  <c r="Z96" i="7"/>
  <c r="N91" i="11" s="1"/>
  <c r="Z28" i="7"/>
  <c r="N23" i="11" s="1"/>
  <c r="Z52" i="7"/>
  <c r="N47" i="11" s="1"/>
  <c r="Z88" i="7"/>
  <c r="N83" i="11" s="1"/>
  <c r="Z20" i="7"/>
  <c r="N15" i="11" s="1"/>
  <c r="Z92" i="7"/>
  <c r="N87" i="11" s="1"/>
  <c r="X104" i="7"/>
  <c r="Z82" i="7"/>
  <c r="N77" i="11" s="1"/>
  <c r="Z84" i="7"/>
  <c r="N79" i="11" s="1"/>
  <c r="Z15" i="7"/>
  <c r="N10" i="11" s="1"/>
  <c r="Z60" i="7"/>
  <c r="N55" i="11" s="1"/>
  <c r="Z76" i="7"/>
  <c r="N71" i="11" s="1"/>
  <c r="Z36" i="7"/>
  <c r="N31" i="11" s="1"/>
  <c r="Z79" i="7"/>
  <c r="N74" i="11" s="1"/>
  <c r="Z103" i="7"/>
  <c r="N98" i="11" s="1"/>
  <c r="Z35" i="7"/>
  <c r="N30" i="11" s="1"/>
  <c r="Z37" i="7"/>
  <c r="N32" i="11" s="1"/>
  <c r="Z65" i="7"/>
  <c r="N60" i="11" s="1"/>
  <c r="Z102" i="7"/>
  <c r="N97" i="11" s="1"/>
  <c r="Z34" i="7"/>
  <c r="N29" i="11" s="1"/>
  <c r="Z53" i="7"/>
  <c r="N48" i="11" s="1"/>
  <c r="Z26" i="7"/>
  <c r="N21" i="11" s="1"/>
  <c r="X47" i="7"/>
  <c r="Z64" i="7"/>
  <c r="N59" i="11" s="1"/>
  <c r="Z63" i="7"/>
  <c r="N58" i="11" s="1"/>
  <c r="X72" i="7"/>
  <c r="Z42" i="7"/>
  <c r="N37" i="11" s="1"/>
  <c r="Z21" i="7"/>
  <c r="N16" i="11" s="1"/>
  <c r="Z57" i="7"/>
  <c r="N52" i="11" s="1"/>
  <c r="Z27" i="7"/>
  <c r="N22" i="11" s="1"/>
  <c r="Z80" i="7"/>
  <c r="N75" i="11" s="1"/>
  <c r="Z66" i="7"/>
  <c r="N61" i="11" s="1"/>
  <c r="Z90" i="7"/>
  <c r="N85" i="11" s="1"/>
  <c r="Z22" i="7"/>
  <c r="N17" i="11" s="1"/>
  <c r="Z10" i="7"/>
  <c r="N5" i="11" s="1"/>
  <c r="X18" i="7"/>
  <c r="Z101" i="7"/>
  <c r="N96" i="11" s="1"/>
  <c r="Z33" i="7"/>
  <c r="N28" i="11" s="1"/>
  <c r="Z46" i="7"/>
  <c r="N41" i="11" s="1"/>
  <c r="Z45" i="7"/>
  <c r="N40" i="11" s="1"/>
  <c r="Z93" i="7"/>
  <c r="N88" i="11" s="1"/>
  <c r="Z24" i="7"/>
  <c r="N19" i="11" s="1"/>
  <c r="Z43" i="7"/>
  <c r="N38" i="11" s="1"/>
  <c r="Z51" i="7"/>
  <c r="N46" i="11" s="1"/>
  <c r="Z59" i="7"/>
  <c r="N54" i="11" s="1"/>
  <c r="Z75" i="7"/>
  <c r="N70" i="11" s="1"/>
  <c r="Z97" i="7"/>
  <c r="N92" i="11" s="1"/>
  <c r="Z61" i="7"/>
  <c r="N56" i="11" s="1"/>
  <c r="Z86" i="7"/>
  <c r="N81" i="11" s="1"/>
  <c r="Z17" i="7"/>
  <c r="N12" i="11" s="1"/>
  <c r="Z54" i="7"/>
  <c r="N49" i="11" s="1"/>
  <c r="Z50" i="7"/>
  <c r="N45" i="11" s="1"/>
  <c r="Z41" i="7"/>
  <c r="N36" i="11" s="1"/>
  <c r="Z13" i="7"/>
  <c r="N8" i="11" s="1"/>
  <c r="Z70" i="7"/>
  <c r="N65" i="11" s="1"/>
  <c r="Z44" i="7"/>
  <c r="N39" i="11" s="1"/>
  <c r="Z69" i="7"/>
  <c r="N64" i="11" s="1"/>
  <c r="Z73" i="7"/>
  <c r="N68" i="11" s="1"/>
  <c r="X91" i="7"/>
  <c r="Z71" i="7"/>
  <c r="N66" i="11" s="1"/>
  <c r="Z99" i="7"/>
  <c r="N94" i="11" s="1"/>
  <c r="Z68" i="7"/>
  <c r="N63" i="11" s="1"/>
  <c r="Z87" i="7"/>
  <c r="N82" i="11" s="1"/>
  <c r="Z49" i="7"/>
  <c r="N44" i="11" s="1"/>
  <c r="Z39" i="7"/>
  <c r="N34" i="11" s="1"/>
  <c r="Z58" i="7"/>
  <c r="N53" i="11" s="1"/>
  <c r="Z31" i="7"/>
  <c r="N26" i="11" s="1"/>
  <c r="Z78" i="7"/>
  <c r="N73" i="11" s="1"/>
  <c r="Z83" i="7"/>
  <c r="N78" i="11" s="1"/>
  <c r="Z14" i="7"/>
  <c r="N9" i="11" s="1"/>
  <c r="Z74" i="7"/>
  <c r="N69" i="11" s="1"/>
  <c r="Z89" i="7"/>
  <c r="N84" i="11" s="1"/>
  <c r="Z48" i="7"/>
  <c r="N43" i="11" s="1"/>
  <c r="X62" i="7"/>
  <c r="Z85" i="7"/>
  <c r="N80" i="11" s="1"/>
  <c r="Z16" i="7"/>
  <c r="N11" i="11" s="1"/>
  <c r="Z98" i="7"/>
  <c r="N93" i="11" s="1"/>
  <c r="Z30" i="7"/>
  <c r="N25" i="11" s="1"/>
  <c r="Z29" i="7"/>
  <c r="N24" i="11" s="1"/>
  <c r="Z77" i="7"/>
  <c r="N72" i="11" s="1"/>
  <c r="Z55" i="7"/>
  <c r="N50" i="11" s="1"/>
  <c r="Z23" i="7"/>
  <c r="N18" i="11" s="1"/>
  <c r="Z95" i="7"/>
  <c r="N90" i="11" s="1"/>
  <c r="V105" i="7"/>
  <c r="Z100" i="7"/>
  <c r="N95" i="11" s="1"/>
  <c r="Z32" i="7"/>
  <c r="N27" i="11" s="1"/>
  <c r="Z56" i="7"/>
  <c r="N51" i="11" s="1"/>
  <c r="Z67" i="7"/>
  <c r="N62" i="11" s="1"/>
  <c r="Z81" i="7"/>
  <c r="N76" i="11" s="1"/>
  <c r="Z12" i="7"/>
  <c r="N7" i="11" s="1"/>
  <c r="Z19" i="7"/>
  <c r="N14" i="11" s="1"/>
  <c r="N20" i="11" s="1"/>
  <c r="X25" i="7"/>
  <c r="L100" i="11" l="1"/>
  <c r="N13" i="11"/>
  <c r="N42" i="11"/>
  <c r="N86" i="11"/>
  <c r="N99" i="11"/>
  <c r="N57" i="11"/>
  <c r="N67" i="11"/>
  <c r="AB19" i="7"/>
  <c r="AI19" i="7"/>
  <c r="AC19" i="7"/>
  <c r="AE19" i="7"/>
  <c r="Z25" i="7"/>
  <c r="AB67" i="7"/>
  <c r="AC67" i="7"/>
  <c r="AI67" i="7"/>
  <c r="AE67" i="7"/>
  <c r="AJ67" i="7" s="1"/>
  <c r="P62" i="11" s="1"/>
  <c r="AC32" i="7"/>
  <c r="AB32" i="7"/>
  <c r="AI32" i="7"/>
  <c r="AE32" i="7"/>
  <c r="AJ32" i="7" s="1"/>
  <c r="P27" i="11" s="1"/>
  <c r="AE29" i="7"/>
  <c r="AJ29" i="7" s="1"/>
  <c r="P24" i="11" s="1"/>
  <c r="AC29" i="7"/>
  <c r="AB29" i="7"/>
  <c r="AI29" i="7"/>
  <c r="AE85" i="7"/>
  <c r="AJ85" i="7" s="1"/>
  <c r="P80" i="11" s="1"/>
  <c r="AC85" i="7"/>
  <c r="AB85" i="7"/>
  <c r="AI85" i="7"/>
  <c r="AC83" i="7"/>
  <c r="AB83" i="7"/>
  <c r="AI83" i="7"/>
  <c r="AE83" i="7"/>
  <c r="AJ83" i="7" s="1"/>
  <c r="P78" i="11" s="1"/>
  <c r="AE31" i="7"/>
  <c r="AJ31" i="7" s="1"/>
  <c r="P26" i="11" s="1"/>
  <c r="AC31" i="7"/>
  <c r="AB31" i="7"/>
  <c r="AI31" i="7"/>
  <c r="AB58" i="7"/>
  <c r="AC58" i="7"/>
  <c r="AI58" i="7"/>
  <c r="AE58" i="7"/>
  <c r="AJ58" i="7" s="1"/>
  <c r="P53" i="11" s="1"/>
  <c r="AB87" i="7"/>
  <c r="AI87" i="7"/>
  <c r="AC87" i="7"/>
  <c r="AE87" i="7"/>
  <c r="AJ87" i="7" s="1"/>
  <c r="P82" i="11" s="1"/>
  <c r="AE70" i="7"/>
  <c r="AJ70" i="7" s="1"/>
  <c r="P65" i="11" s="1"/>
  <c r="AI70" i="7"/>
  <c r="AC70" i="7"/>
  <c r="AB70" i="7"/>
  <c r="AI41" i="7"/>
  <c r="AE41" i="7"/>
  <c r="AJ41" i="7" s="1"/>
  <c r="P36" i="11" s="1"/>
  <c r="AB41" i="7"/>
  <c r="AC41" i="7"/>
  <c r="AC54" i="7"/>
  <c r="AB54" i="7"/>
  <c r="AI54" i="7"/>
  <c r="AE54" i="7"/>
  <c r="AJ54" i="7" s="1"/>
  <c r="P49" i="11" s="1"/>
  <c r="AC17" i="7"/>
  <c r="AB17" i="7"/>
  <c r="AI17" i="7"/>
  <c r="AE17" i="7"/>
  <c r="AJ17" i="7" s="1"/>
  <c r="P12" i="11" s="1"/>
  <c r="AE51" i="7"/>
  <c r="AJ51" i="7" s="1"/>
  <c r="P46" i="11" s="1"/>
  <c r="AC51" i="7"/>
  <c r="AB51" i="7"/>
  <c r="AI51" i="7"/>
  <c r="AB43" i="7"/>
  <c r="AE43" i="7"/>
  <c r="AJ43" i="7" s="1"/>
  <c r="P38" i="11" s="1"/>
  <c r="AI43" i="7"/>
  <c r="AC43" i="7"/>
  <c r="AI45" i="7"/>
  <c r="AE45" i="7"/>
  <c r="AJ45" i="7" s="1"/>
  <c r="P40" i="11" s="1"/>
  <c r="AC45" i="7"/>
  <c r="AB45" i="7"/>
  <c r="AI46" i="7"/>
  <c r="AE46" i="7"/>
  <c r="AJ46" i="7" s="1"/>
  <c r="P41" i="11" s="1"/>
  <c r="AC46" i="7"/>
  <c r="AB46" i="7"/>
  <c r="AE10" i="7"/>
  <c r="AI10" i="7"/>
  <c r="AC10" i="7"/>
  <c r="AB10" i="7"/>
  <c r="Z18" i="7"/>
  <c r="AE80" i="7"/>
  <c r="AJ80" i="7" s="1"/>
  <c r="P75" i="11" s="1"/>
  <c r="AB80" i="7"/>
  <c r="AI80" i="7"/>
  <c r="AC80" i="7"/>
  <c r="AB27" i="7"/>
  <c r="AE27" i="7"/>
  <c r="AJ27" i="7" s="1"/>
  <c r="P22" i="11" s="1"/>
  <c r="AI27" i="7"/>
  <c r="AC27" i="7"/>
  <c r="AB57" i="7"/>
  <c r="AC57" i="7"/>
  <c r="AI57" i="7"/>
  <c r="AE57" i="7"/>
  <c r="AJ57" i="7" s="1"/>
  <c r="P52" i="11" s="1"/>
  <c r="AB26" i="7"/>
  <c r="AI26" i="7"/>
  <c r="AE26" i="7"/>
  <c r="AC26" i="7"/>
  <c r="Z47" i="7"/>
  <c r="AE37" i="7"/>
  <c r="AJ37" i="7" s="1"/>
  <c r="P32" i="11" s="1"/>
  <c r="AC37" i="7"/>
  <c r="AB37" i="7"/>
  <c r="AI37" i="7"/>
  <c r="AI76" i="7"/>
  <c r="AE76" i="7"/>
  <c r="AJ76" i="7" s="1"/>
  <c r="P71" i="11" s="1"/>
  <c r="AB76" i="7"/>
  <c r="AC76" i="7"/>
  <c r="AE84" i="7"/>
  <c r="AJ84" i="7" s="1"/>
  <c r="P79" i="11" s="1"/>
  <c r="AB84" i="7"/>
  <c r="AC84" i="7"/>
  <c r="AI84" i="7"/>
  <c r="AE82" i="7"/>
  <c r="AJ82" i="7" s="1"/>
  <c r="P77" i="11" s="1"/>
  <c r="AC82" i="7"/>
  <c r="AB82" i="7"/>
  <c r="AI82" i="7"/>
  <c r="AB28" i="7"/>
  <c r="AC28" i="7"/>
  <c r="AE28" i="7"/>
  <c r="AJ28" i="7" s="1"/>
  <c r="P23" i="11" s="1"/>
  <c r="AI28" i="7"/>
  <c r="AB38" i="7"/>
  <c r="AC38" i="7"/>
  <c r="AI38" i="7"/>
  <c r="AE38" i="7"/>
  <c r="AJ38" i="7" s="1"/>
  <c r="P33" i="11" s="1"/>
  <c r="AB23" i="7"/>
  <c r="AC23" i="7"/>
  <c r="AI23" i="7"/>
  <c r="AE23" i="7"/>
  <c r="AJ23" i="7" s="1"/>
  <c r="P18" i="11" s="1"/>
  <c r="AI81" i="7"/>
  <c r="AE81" i="7"/>
  <c r="AJ81" i="7" s="1"/>
  <c r="P76" i="11" s="1"/>
  <c r="AC81" i="7"/>
  <c r="AB81" i="7"/>
  <c r="AI30" i="7"/>
  <c r="AE30" i="7"/>
  <c r="AJ30" i="7" s="1"/>
  <c r="P25" i="11" s="1"/>
  <c r="AC30" i="7"/>
  <c r="AB30" i="7"/>
  <c r="AB39" i="7"/>
  <c r="AI39" i="7"/>
  <c r="AE39" i="7"/>
  <c r="AJ39" i="7" s="1"/>
  <c r="P34" i="11" s="1"/>
  <c r="AC39" i="7"/>
  <c r="AB71" i="7"/>
  <c r="AI71" i="7"/>
  <c r="AE71" i="7"/>
  <c r="AJ71" i="7" s="1"/>
  <c r="P66" i="11" s="1"/>
  <c r="AC71" i="7"/>
  <c r="AB73" i="7"/>
  <c r="AC73" i="7"/>
  <c r="AI73" i="7"/>
  <c r="AE73" i="7"/>
  <c r="Z91" i="7"/>
  <c r="AE44" i="7"/>
  <c r="AJ44" i="7" s="1"/>
  <c r="P39" i="11" s="1"/>
  <c r="AI44" i="7"/>
  <c r="AC44" i="7"/>
  <c r="AB44" i="7"/>
  <c r="AE13" i="7"/>
  <c r="AJ13" i="7" s="1"/>
  <c r="P8" i="11" s="1"/>
  <c r="AC13" i="7"/>
  <c r="AB13" i="7"/>
  <c r="AI13" i="7"/>
  <c r="AC50" i="7"/>
  <c r="AE50" i="7"/>
  <c r="AJ50" i="7" s="1"/>
  <c r="P45" i="11" s="1"/>
  <c r="AB50" i="7"/>
  <c r="AI50" i="7"/>
  <c r="AE61" i="7"/>
  <c r="AJ61" i="7" s="1"/>
  <c r="P56" i="11" s="1"/>
  <c r="AI61" i="7"/>
  <c r="AC61" i="7"/>
  <c r="AB61" i="7"/>
  <c r="AB75" i="7"/>
  <c r="AC75" i="7"/>
  <c r="AI75" i="7"/>
  <c r="AE75" i="7"/>
  <c r="AJ75" i="7" s="1"/>
  <c r="P70" i="11" s="1"/>
  <c r="AI93" i="7"/>
  <c r="AE93" i="7"/>
  <c r="AJ93" i="7" s="1"/>
  <c r="P88" i="11" s="1"/>
  <c r="AB93" i="7"/>
  <c r="AC93" i="7"/>
  <c r="AI33" i="7"/>
  <c r="AE33" i="7"/>
  <c r="AJ33" i="7" s="1"/>
  <c r="P28" i="11" s="1"/>
  <c r="AB33" i="7"/>
  <c r="AC33" i="7"/>
  <c r="AB22" i="7"/>
  <c r="AI22" i="7"/>
  <c r="AE22" i="7"/>
  <c r="AJ22" i="7" s="1"/>
  <c r="P17" i="11" s="1"/>
  <c r="AC22" i="7"/>
  <c r="AB63" i="7"/>
  <c r="AI63" i="7"/>
  <c r="AE63" i="7"/>
  <c r="AC63" i="7"/>
  <c r="Z72" i="7"/>
  <c r="AI64" i="7"/>
  <c r="AE64" i="7"/>
  <c r="AJ64" i="7" s="1"/>
  <c r="P59" i="11" s="1"/>
  <c r="AC64" i="7"/>
  <c r="AB64" i="7"/>
  <c r="AE34" i="7"/>
  <c r="AJ34" i="7" s="1"/>
  <c r="P29" i="11" s="1"/>
  <c r="AC34" i="7"/>
  <c r="AB34" i="7"/>
  <c r="AI34" i="7"/>
  <c r="AI103" i="7"/>
  <c r="AE103" i="7"/>
  <c r="AJ103" i="7" s="1"/>
  <c r="P98" i="11" s="1"/>
  <c r="AC103" i="7"/>
  <c r="AB103" i="7"/>
  <c r="X105" i="7"/>
  <c r="AB60" i="7"/>
  <c r="AE60" i="7"/>
  <c r="AJ60" i="7" s="1"/>
  <c r="P55" i="11" s="1"/>
  <c r="AI60" i="7"/>
  <c r="AC60" i="7"/>
  <c r="AB92" i="7"/>
  <c r="AC92" i="7"/>
  <c r="AI92" i="7"/>
  <c r="AE92" i="7"/>
  <c r="Z104" i="7"/>
  <c r="AI20" i="7"/>
  <c r="AE20" i="7"/>
  <c r="AJ20" i="7" s="1"/>
  <c r="P15" i="11" s="1"/>
  <c r="AC20" i="7"/>
  <c r="AB20" i="7"/>
  <c r="AB56" i="7"/>
  <c r="AI56" i="7"/>
  <c r="AE56" i="7"/>
  <c r="AJ56" i="7" s="1"/>
  <c r="P51" i="11" s="1"/>
  <c r="AC56" i="7"/>
  <c r="AE100" i="7"/>
  <c r="AJ100" i="7" s="1"/>
  <c r="P95" i="11" s="1"/>
  <c r="AC100" i="7"/>
  <c r="AB100" i="7"/>
  <c r="AI100" i="7"/>
  <c r="AB95" i="7"/>
  <c r="AE95" i="7"/>
  <c r="AJ95" i="7" s="1"/>
  <c r="P90" i="11" s="1"/>
  <c r="AI95" i="7"/>
  <c r="AC95" i="7"/>
  <c r="AC55" i="7"/>
  <c r="AB55" i="7"/>
  <c r="AI55" i="7"/>
  <c r="AE55" i="7"/>
  <c r="AJ55" i="7" s="1"/>
  <c r="P50" i="11" s="1"/>
  <c r="AB77" i="7"/>
  <c r="AI77" i="7"/>
  <c r="AE77" i="7"/>
  <c r="AJ77" i="7" s="1"/>
  <c r="P72" i="11" s="1"/>
  <c r="AC77" i="7"/>
  <c r="AE16" i="7"/>
  <c r="AJ16" i="7" s="1"/>
  <c r="P11" i="11" s="1"/>
  <c r="AC16" i="7"/>
  <c r="AB16" i="7"/>
  <c r="AI16" i="7"/>
  <c r="AE48" i="7"/>
  <c r="AC48" i="7"/>
  <c r="AB48" i="7"/>
  <c r="AI48" i="7"/>
  <c r="Z62" i="7"/>
  <c r="AC89" i="7"/>
  <c r="AB89" i="7"/>
  <c r="AI89" i="7"/>
  <c r="AE89" i="7"/>
  <c r="AJ89" i="7" s="1"/>
  <c r="P84" i="11" s="1"/>
  <c r="AC14" i="7"/>
  <c r="AB14" i="7"/>
  <c r="AI14" i="7"/>
  <c r="AE14" i="7"/>
  <c r="AJ14" i="7" s="1"/>
  <c r="P9" i="11" s="1"/>
  <c r="AB78" i="7"/>
  <c r="AE78" i="7"/>
  <c r="AJ78" i="7" s="1"/>
  <c r="P73" i="11" s="1"/>
  <c r="AI78" i="7"/>
  <c r="AC78" i="7"/>
  <c r="AC49" i="7"/>
  <c r="AB49" i="7"/>
  <c r="AI49" i="7"/>
  <c r="AE49" i="7"/>
  <c r="AJ49" i="7" s="1"/>
  <c r="P44" i="11" s="1"/>
  <c r="AE68" i="7"/>
  <c r="AJ68" i="7" s="1"/>
  <c r="P63" i="11" s="1"/>
  <c r="AC68" i="7"/>
  <c r="AB68" i="7"/>
  <c r="AI68" i="7"/>
  <c r="AI99" i="7"/>
  <c r="AE99" i="7"/>
  <c r="AJ99" i="7" s="1"/>
  <c r="P94" i="11" s="1"/>
  <c r="AC99" i="7"/>
  <c r="AB99" i="7"/>
  <c r="AC86" i="7"/>
  <c r="AB86" i="7"/>
  <c r="AI86" i="7"/>
  <c r="AE86" i="7"/>
  <c r="AJ86" i="7" s="1"/>
  <c r="P81" i="11" s="1"/>
  <c r="AC97" i="7"/>
  <c r="AI97" i="7"/>
  <c r="AE97" i="7"/>
  <c r="AJ97" i="7" s="1"/>
  <c r="P92" i="11" s="1"/>
  <c r="AB97" i="7"/>
  <c r="AB59" i="7"/>
  <c r="AI59" i="7"/>
  <c r="AE59" i="7"/>
  <c r="AJ59" i="7" s="1"/>
  <c r="P54" i="11" s="1"/>
  <c r="AC59" i="7"/>
  <c r="AC21" i="7"/>
  <c r="AB21" i="7"/>
  <c r="AI21" i="7"/>
  <c r="AE21" i="7"/>
  <c r="AJ21" i="7" s="1"/>
  <c r="P16" i="11" s="1"/>
  <c r="AB42" i="7"/>
  <c r="AI42" i="7"/>
  <c r="AE42" i="7"/>
  <c r="AJ42" i="7" s="1"/>
  <c r="P37" i="11" s="1"/>
  <c r="AC42" i="7"/>
  <c r="AB36" i="7"/>
  <c r="AI36" i="7"/>
  <c r="AC36" i="7"/>
  <c r="AE36" i="7"/>
  <c r="AJ36" i="7" s="1"/>
  <c r="P31" i="11" s="1"/>
  <c r="AE15" i="7"/>
  <c r="AJ15" i="7" s="1"/>
  <c r="P10" i="11" s="1"/>
  <c r="AB15" i="7"/>
  <c r="AC15" i="7"/>
  <c r="AI15" i="7"/>
  <c r="AI96" i="7"/>
  <c r="AC96" i="7"/>
  <c r="AE96" i="7"/>
  <c r="AJ96" i="7" s="1"/>
  <c r="P91" i="11" s="1"/>
  <c r="AB96" i="7"/>
  <c r="AB40" i="7"/>
  <c r="AC40" i="7"/>
  <c r="AI40" i="7"/>
  <c r="AE40" i="7"/>
  <c r="AJ40" i="7" s="1"/>
  <c r="P35" i="11" s="1"/>
  <c r="AI12" i="7"/>
  <c r="AE12" i="7"/>
  <c r="AJ12" i="7" s="1"/>
  <c r="P7" i="11" s="1"/>
  <c r="AC12" i="7"/>
  <c r="AB12" i="7"/>
  <c r="AI98" i="7"/>
  <c r="AE98" i="7"/>
  <c r="AJ98" i="7" s="1"/>
  <c r="P93" i="11" s="1"/>
  <c r="AC98" i="7"/>
  <c r="AB98" i="7"/>
  <c r="AB74" i="7"/>
  <c r="AI74" i="7"/>
  <c r="AE74" i="7"/>
  <c r="AJ74" i="7" s="1"/>
  <c r="P69" i="11" s="1"/>
  <c r="AC74" i="7"/>
  <c r="AC69" i="7"/>
  <c r="AB69" i="7"/>
  <c r="AI69" i="7"/>
  <c r="AE69" i="7"/>
  <c r="AJ69" i="7" s="1"/>
  <c r="P64" i="11" s="1"/>
  <c r="AE24" i="7"/>
  <c r="AJ24" i="7" s="1"/>
  <c r="P19" i="11" s="1"/>
  <c r="AB24" i="7"/>
  <c r="AC24" i="7"/>
  <c r="AI24" i="7"/>
  <c r="AB101" i="7"/>
  <c r="AC101" i="7"/>
  <c r="AI101" i="7"/>
  <c r="AE101" i="7"/>
  <c r="AJ101" i="7" s="1"/>
  <c r="P96" i="11" s="1"/>
  <c r="AB90" i="7"/>
  <c r="AI90" i="7"/>
  <c r="AE90" i="7"/>
  <c r="AJ90" i="7" s="1"/>
  <c r="P85" i="11" s="1"/>
  <c r="AC90" i="7"/>
  <c r="AC66" i="7"/>
  <c r="AB66" i="7"/>
  <c r="AI66" i="7"/>
  <c r="AE66" i="7"/>
  <c r="AJ66" i="7" s="1"/>
  <c r="P61" i="11" s="1"/>
  <c r="AE53" i="7"/>
  <c r="AJ53" i="7" s="1"/>
  <c r="P48" i="11" s="1"/>
  <c r="AI53" i="7"/>
  <c r="AC53" i="7"/>
  <c r="AB53" i="7"/>
  <c r="AC102" i="7"/>
  <c r="AB102" i="7"/>
  <c r="AI102" i="7"/>
  <c r="AE102" i="7"/>
  <c r="AJ102" i="7" s="1"/>
  <c r="P97" i="11" s="1"/>
  <c r="AE65" i="7"/>
  <c r="AJ65" i="7" s="1"/>
  <c r="P60" i="11" s="1"/>
  <c r="AC65" i="7"/>
  <c r="AB65" i="7"/>
  <c r="AI65" i="7"/>
  <c r="AC35" i="7"/>
  <c r="AB35" i="7"/>
  <c r="AI35" i="7"/>
  <c r="AE35" i="7"/>
  <c r="AJ35" i="7" s="1"/>
  <c r="P30" i="11" s="1"/>
  <c r="AE79" i="7"/>
  <c r="AJ79" i="7" s="1"/>
  <c r="P74" i="11" s="1"/>
  <c r="AI79" i="7"/>
  <c r="AC79" i="7"/>
  <c r="AB79" i="7"/>
  <c r="AI88" i="7"/>
  <c r="AE88" i="7"/>
  <c r="AJ88" i="7" s="1"/>
  <c r="P83" i="11" s="1"/>
  <c r="AC88" i="7"/>
  <c r="AB88" i="7"/>
  <c r="AC52" i="7"/>
  <c r="AB52" i="7"/>
  <c r="AI52" i="7"/>
  <c r="AE52" i="7"/>
  <c r="AJ52" i="7" s="1"/>
  <c r="P47" i="11" s="1"/>
  <c r="AB94" i="7"/>
  <c r="AI94" i="7"/>
  <c r="AE94" i="7"/>
  <c r="AJ94" i="7" s="1"/>
  <c r="P89" i="11" s="1"/>
  <c r="AC94" i="7"/>
  <c r="AI11" i="7"/>
  <c r="AE11" i="7"/>
  <c r="AJ11" i="7" s="1"/>
  <c r="P6" i="11" s="1"/>
  <c r="AC11" i="7"/>
  <c r="AB11" i="7"/>
  <c r="N100" i="11" l="1"/>
  <c r="AB62" i="7"/>
  <c r="AI104" i="7"/>
  <c r="AI72" i="7"/>
  <c r="AI91" i="7"/>
  <c r="AI18" i="7"/>
  <c r="AI25" i="7"/>
  <c r="AB72" i="7"/>
  <c r="AJ26" i="7"/>
  <c r="P21" i="11" s="1"/>
  <c r="P42" i="11" s="1"/>
  <c r="AE47" i="7"/>
  <c r="AJ10" i="7"/>
  <c r="P5" i="11" s="1"/>
  <c r="P13" i="11" s="1"/>
  <c r="AE18" i="7"/>
  <c r="AB25" i="7"/>
  <c r="AJ48" i="7"/>
  <c r="P43" i="11" s="1"/>
  <c r="P57" i="11" s="1"/>
  <c r="AE62" i="7"/>
  <c r="AB104" i="7"/>
  <c r="AB91" i="7"/>
  <c r="AI47" i="7"/>
  <c r="AB18" i="7"/>
  <c r="AJ19" i="7"/>
  <c r="P14" i="11" s="1"/>
  <c r="P20" i="11" s="1"/>
  <c r="AE25" i="7"/>
  <c r="AI62" i="7"/>
  <c r="AJ92" i="7"/>
  <c r="P87" i="11" s="1"/>
  <c r="P99" i="11" s="1"/>
  <c r="AE104" i="7"/>
  <c r="AJ63" i="7"/>
  <c r="P58" i="11" s="1"/>
  <c r="P67" i="11" s="1"/>
  <c r="AE72" i="7"/>
  <c r="AJ73" i="7"/>
  <c r="P68" i="11" s="1"/>
  <c r="P86" i="11" s="1"/>
  <c r="AE91" i="7"/>
  <c r="AB47" i="7"/>
  <c r="Z105" i="7" l="1"/>
  <c r="AI105" i="7"/>
  <c r="AJ91" i="7"/>
  <c r="AJ104" i="7"/>
  <c r="AJ72" i="7"/>
  <c r="AJ25" i="7"/>
  <c r="AJ18" i="7"/>
  <c r="AJ62" i="7"/>
  <c r="AB105" i="7"/>
  <c r="AJ47" i="7"/>
  <c r="P100" i="11" l="1"/>
  <c r="AE105" i="7"/>
  <c r="AJ10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Tawatchai Ruangrot</author>
  </authors>
  <commentList>
    <comment ref="H9" authorId="0" shapeId="0" xr:uid="{B0E0B559-9442-404F-A198-9A8C0A0B0B3D}">
      <text>
        <r>
          <rPr>
            <sz val="10"/>
            <color theme="1"/>
            <rFont val="Calibri"/>
            <family val="2"/>
            <scheme val="minor"/>
          </rPr>
          <t>1. เขตสามารถปรับค่าKในแต่ละรพ.ได้ 
(ถ้าเขตปรับค่าKจะใช้ค่าตามที่เขตปรับ ถ้าเขตไม่ปรับค่าK จะใช้ค่าK ตามเกณฑ์กลาง)</t>
        </r>
      </text>
    </comment>
    <comment ref="Y9" authorId="0" shapeId="0" xr:uid="{70F99EF6-F6D1-4306-A100-7FC7B1D09BB5}">
      <text>
        <r>
          <rPr>
            <sz val="10"/>
            <color indexed="81"/>
            <rFont val="Tahoma"/>
            <family val="2"/>
          </rPr>
          <t xml:space="preserve">2. เขตปรับเกลี่ยเงินเพิ่มเติมตามเกณฑ์หลังจากที่เขตปรับค่าK แล้ว โดยผลการปรับเกลี่ยเงินเติมเมื่อรวมกับเงินOP/PP/IP แล้ว (คอลัมภ์[17]) จะต้องได้ไม่น้อยกว่าหรือเท่ากับ ยอดประกันตามเกณฑ์กลางในคอลัมภ์[18]หากปรับเกลี่ยได้ตรงตามเงื่อนไขคอลัมภ์ [20] จะมีข้อความ "ผ่าน" ***หากเขตไม่ต้องการปรับเกลี่ยให้ copyเงินเติมที่แต่ละCUPได้รับตามเกณฑ์กลางในคอลัมภ์[16]ของsheet2 มาวางได้ </t>
        </r>
        <r>
          <rPr>
            <b/>
            <sz val="10"/>
            <color indexed="81"/>
            <rFont val="Tahoma"/>
            <family val="2"/>
          </rPr>
          <t>(ซึ่งในเบื้องต้นได้วางไว้ให้แล้ว)</t>
        </r>
      </text>
    </comment>
    <comment ref="AD9" authorId="0" shapeId="0" xr:uid="{CF8015B2-35DE-444A-A59A-3CEDF558DF1F}">
      <text>
        <r>
          <rPr>
            <b/>
            <sz val="9"/>
            <color indexed="81"/>
            <rFont val="Tahoma"/>
            <family val="2"/>
          </rPr>
          <t>3. เขตปรับเกลี่ยเงินระดับเขต
ให้กับ CUP ภายใต้วงเงินของเขต</t>
        </r>
      </text>
    </comment>
  </commentList>
</comments>
</file>

<file path=xl/sharedStrings.xml><?xml version="1.0" encoding="utf-8"?>
<sst xmlns="http://schemas.openxmlformats.org/spreadsheetml/2006/main" count="2521" uniqueCount="367">
  <si>
    <t>โปรดอ่านก่อนดำเนินการปรับเกลี่ย</t>
  </si>
  <si>
    <t>1. ไฟล์ปรับเกลี่ยประกอบด้วย 6 worksheet ให้เขตปรับเกลี่ยเฉพาะ sheet4 กับ sheet5 เท่านั้น รายละเอียดแต่ละ worksheet มีดังนี้</t>
  </si>
  <si>
    <t>sheet2. จัดสรรหลัง SK คือ ประมาณการรายรับ OP+PP+IP ที่คำนวณตามหลักเกณฑ์เฉพาะของ สป.สธ. ที่มีการกันเงินตามหลักเกณฑ์สป.สธ./จัดสรรตาม Step ladder และถ่วงน้ำหนักค่าK/ปรับลดค่าแรงรายCUP/และเติมเงินตามเกณฑ์ฯ</t>
  </si>
  <si>
    <t>sheet4. เขตปรับKและเกลี่ยเงินเพิ่ม คือ sheet ที่ให้เขตปรับเกลี่ย ประกอบด้วย</t>
  </si>
  <si>
    <r>
      <t>sheet5.ปรับเกลี่ย PP Non UC คือ sheet ที่ให้เขตปรับเกลี่ยเงิน PP Non UC ภายใต้วงเงินของแต่ละจังหวัดในคอลัมภ์ G ให้กับ CUP ทุกสังกัดลงในคอลัมภ์H</t>
    </r>
    <r>
      <rPr>
        <sz val="11"/>
        <color rgb="FFFF0000"/>
        <rFont val="Calibri"/>
        <family val="2"/>
        <scheme val="minor"/>
      </rPr>
      <t xml:space="preserve"> และให้ Print ผลการปรับเกลี่ยในหน้านี้ ในการส่งหนังสือแจ้งผลการจัดสรรเงินที่เขตปรับเกลี่ย อย่างเป็นทางการ</t>
    </r>
  </si>
  <si>
    <t>sheet6 Print ผลการปรับเกลี่ย ใช้สำหรับPrint ผลการปรับเกลี่ยเงิน OP/PP/IP และเงินเติมฯ ในการส่งหนังสือแจ้งผลการจัดสรรเงินที่เขตปรับเกลี่ย อย่างเป็นทางการ</t>
  </si>
  <si>
    <t>2. การส่งผลการปรับเกลี่ยให้ส่งด้วย ไฟล์นี้เท่านั้น เพื่อใช้ในการตรวจสอบความถูกต้องในการโอนเงินต่อไป</t>
  </si>
  <si>
    <t>3. ข้อมูลที่เขตจะบันทึกผลการปรับเกลี่ยในไฟล์นี้ ขอให้เป็นตัวเลขและทศนิยมไม่เกิน 2 ตำแหน่งเท่านั้น</t>
  </si>
  <si>
    <t>4. หลังปรับเกลี่ยเรียบร้อยแล้วให้เขตแจ้งหนังสืออย่างเป็นทางการและ Print ผลการปรับเกลี่ยใน sheet5 และsheet6 ส่งมาด้วย</t>
  </si>
  <si>
    <t>PURCHASEPROVINCE</t>
  </si>
  <si>
    <t>HOSPMAIN</t>
  </si>
  <si>
    <t>HOSPNAME</t>
  </si>
  <si>
    <t>HOSPTYPE</t>
  </si>
  <si>
    <t>ประมาณการเงิน IP นอกเขต</t>
  </si>
  <si>
    <t>ปรับลดค่าแรง</t>
  </si>
  <si>
    <t>ค่า K</t>
  </si>
  <si>
    <t>สำหรับ OP Refer ข้ามจังหวัด</t>
  </si>
  <si>
    <t>สำหรับ OP Refer ในจังหวัด/OP AE ในจังหวัด</t>
  </si>
  <si>
    <t>01</t>
  </si>
  <si>
    <t>0010</t>
  </si>
  <si>
    <t>02</t>
  </si>
  <si>
    <t>03</t>
  </si>
  <si>
    <t>04</t>
  </si>
  <si>
    <t>05</t>
  </si>
  <si>
    <t>06</t>
  </si>
  <si>
    <t>07</t>
  </si>
  <si>
    <t>08</t>
  </si>
  <si>
    <t>3800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</si>
  <si>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</si>
  <si>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</si>
  <si>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</si>
  <si>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</si>
  <si>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</si>
  <si>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</si>
  <si>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</si>
  <si>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</si>
  <si>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</si>
  <si>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</si>
  <si>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</si>
  <si>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</si>
  <si>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</si>
  <si>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</si>
  <si>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</si>
  <si>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</si>
  <si>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</si>
  <si>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3900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</si>
  <si>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</si>
  <si>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</si>
  <si>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</si>
  <si>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</si>
  <si>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</si>
  <si>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</si>
  <si>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</si>
  <si>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</si>
  <si>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</si>
  <si>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</si>
  <si>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</si>
  <si>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</si>
  <si>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</si>
  <si>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4100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</si>
  <si>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</si>
  <si>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</si>
  <si>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</si>
  <si>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</si>
  <si>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</si>
  <si>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</si>
  <si>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</si>
  <si>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</si>
  <si>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</si>
  <si>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</si>
  <si>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</si>
  <si>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</si>
  <si>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</si>
  <si>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</si>
  <si>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</si>
  <si>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</si>
  <si>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</si>
  <si>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</si>
  <si>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</si>
  <si>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</si>
  <si>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</si>
  <si>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</si>
  <si>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</si>
  <si>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</si>
  <si>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</si>
  <si>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</si>
  <si>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</si>
  <si>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</si>
  <si>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</si>
  <si>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</si>
  <si>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</si>
  <si>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</si>
  <si>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</si>
  <si>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</si>
  <si>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</si>
  <si>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</si>
  <si>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</si>
  <si>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</si>
  <si>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</si>
  <si>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</si>
  <si>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</si>
  <si>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</si>
  <si>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</si>
  <si>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4200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</si>
  <si>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</si>
  <si>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</si>
  <si>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</si>
  <si>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</si>
  <si>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</si>
  <si>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</si>
  <si>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</si>
  <si>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</si>
  <si>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</si>
  <si>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</si>
  <si>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</si>
  <si>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</si>
  <si>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</si>
  <si>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</si>
  <si>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</si>
  <si>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</si>
  <si>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</si>
  <si>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</si>
  <si>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</si>
  <si>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</si>
  <si>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</si>
  <si>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</si>
  <si>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</si>
  <si>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</si>
  <si>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</si>
  <si>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</si>
  <si>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</si>
  <si>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</si>
  <si>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</si>
  <si>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4300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</si>
  <si>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</si>
  <si>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</si>
  <si>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</si>
  <si>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</si>
  <si>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</si>
  <si>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</si>
  <si>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</si>
  <si>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</si>
  <si>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</si>
  <si>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</si>
  <si>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</si>
  <si>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</si>
  <si>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</si>
  <si>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</si>
  <si>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</si>
  <si>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</si>
  <si>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</si>
  <si>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</si>
  <si>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</si>
  <si>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4700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</si>
  <si>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</si>
  <si>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</si>
  <si>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</si>
  <si>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</si>
  <si>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</si>
  <si>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</si>
  <si>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</si>
  <si>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</si>
  <si>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</si>
  <si>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</si>
  <si>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</si>
  <si>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</si>
  <si>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</si>
  <si>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</si>
  <si>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</si>
  <si>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</si>
  <si>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</si>
  <si>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</si>
  <si>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</si>
  <si>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</si>
  <si>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</si>
  <si>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</si>
  <si>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</si>
  <si>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</si>
  <si>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</si>
  <si>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</si>
  <si>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</si>
  <si>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</si>
  <si>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</si>
  <si>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</si>
  <si>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</si>
  <si>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</si>
  <si>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</si>
  <si>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</si>
  <si>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</si>
  <si>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</si>
  <si>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</si>
  <si>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4800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</si>
  <si>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</si>
  <si>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</si>
  <si>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</si>
  <si>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</si>
  <si>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</si>
  <si>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</si>
  <si>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</si>
  <si>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</si>
  <si>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</si>
  <si>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</si>
  <si>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</si>
  <si>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</si>
  <si>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</si>
  <si>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</si>
  <si>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</si>
  <si>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</si>
  <si>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</si>
  <si>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</si>
  <si>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</si>
  <si>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</si>
  <si>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</si>
  <si>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</si>
  <si>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</si>
  <si>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</si>
  <si>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</si>
  <si>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09</t>
  </si>
  <si>
    <t>10</t>
  </si>
  <si>
    <t>11</t>
  </si>
  <si>
    <t>12</t>
  </si>
  <si>
    <t>เขต</t>
  </si>
  <si>
    <t>[1]</t>
  </si>
  <si>
    <t>[2]</t>
  </si>
  <si>
    <t>[3]</t>
  </si>
  <si>
    <t>[4]</t>
  </si>
  <si>
    <t>[5]</t>
  </si>
  <si>
    <t>[6]</t>
  </si>
  <si>
    <t>[7]=[1]*[2]</t>
  </si>
  <si>
    <t>[8]=[1]*[3]</t>
  </si>
  <si>
    <t>[9]</t>
  </si>
  <si>
    <t>[11]=[5]*9,600</t>
  </si>
  <si>
    <t>[12]=[6]*9,000</t>
  </si>
  <si>
    <t>[13]=[8]+…+[12]</t>
  </si>
  <si>
    <t>ปชก. UC</t>
  </si>
  <si>
    <t>อัตราจ่าย OP</t>
  </si>
  <si>
    <t>อัตราจ่าย P&amp;P Basic services</t>
  </si>
  <si>
    <t>ประมาณการ adjrw IP บริการคนในเขต</t>
  </si>
  <si>
    <t>ประมาณการ adjrw IP บริการคนนอกเขต</t>
  </si>
  <si>
    <t>ประมาณการ adjrw IP NBป่วย/นน.&lt;1,500g</t>
  </si>
  <si>
    <t>วงเงิน OP cap</t>
  </si>
  <si>
    <t>วงเงิน PP Basic service cap</t>
  </si>
  <si>
    <t>วงเงิน PP Basic service ผลงานบริการ</t>
  </si>
  <si>
    <t>ประมาณการเงิน IP บริการคนในเขต</t>
  </si>
  <si>
    <t>ประมาณการเงิน IP บริการคนนอกเขต</t>
  </si>
  <si>
    <t>ประมาณการเงิน IP NB</t>
  </si>
  <si>
    <t>[7]</t>
  </si>
  <si>
    <t>[8]=[1]*[2]</t>
  </si>
  <si>
    <t>[9]=[1]*[3]</t>
  </si>
  <si>
    <t>[10]=[4]*K*[7]</t>
  </si>
  <si>
    <t>[14]</t>
  </si>
  <si>
    <t>[15]=[13]-[14]</t>
  </si>
  <si>
    <t>[16]</t>
  </si>
  <si>
    <t>[17]=[15]+[16]</t>
  </si>
  <si>
    <t>[18]</t>
  </si>
  <si>
    <t>ปชก UC</t>
  </si>
  <si>
    <t>อัตราจ่าย OP Step ladder</t>
  </si>
  <si>
    <t>อัตราจ่าย PP Step ladder</t>
  </si>
  <si>
    <t>ประมาณการอัตราจ่ายIPในเขตหลังปรับค่า K</t>
  </si>
  <si>
    <t>OP Step ladder</t>
  </si>
  <si>
    <t>P&amp;P  Step ladder</t>
  </si>
  <si>
    <t>ประมาณการเงิน IPในเขต ปรับค่าk</t>
  </si>
  <si>
    <t>รวมประมาณการรายรับก่อนปรับลดค่าแรง</t>
  </si>
  <si>
    <t>รวมประมาณการรายรับหลังปรับลดค่าแรง</t>
  </si>
  <si>
    <t>ผลการจัดสรร Step ladder และถ่วงน้ำหนักค่าK ตามเกณฑ์กลางประเทศ</t>
  </si>
  <si>
    <t>เงินระดับเขตเพื่อปรับเกลี่ย</t>
  </si>
  <si>
    <t>รายการ</t>
  </si>
  <si>
    <t>จำนวนเงิน</t>
  </si>
  <si>
    <t>เงินระดับเขต</t>
  </si>
  <si>
    <t>PP Step ladder</t>
  </si>
  <si>
    <t>ประมาณการ IP ในเขตปรับค่าK</t>
  </si>
  <si>
    <t>ประมาณการ IP นอกเขต</t>
  </si>
  <si>
    <t>ประมาณการ IP NB</t>
  </si>
  <si>
    <t>รวมประมาณการก่อนปรับลดค่าแรง</t>
  </si>
  <si>
    <t>รวมประมาณการหลังปรับลดค่าแรง</t>
  </si>
  <si>
    <t>รวมประมาณการหลังปรับลดค่าแรงรวมเงินเติมฯ</t>
  </si>
  <si>
    <t>รวม</t>
  </si>
  <si>
    <t>ลำดับ</t>
  </si>
  <si>
    <t>จังหวัด</t>
  </si>
  <si>
    <t>บึงกาฬ Total</t>
  </si>
  <si>
    <t>หนองบัวลำภู Total</t>
  </si>
  <si>
    <t>อุดรธานี Total</t>
  </si>
  <si>
    <t>เลย Total</t>
  </si>
  <si>
    <t>หนองคาย Total</t>
  </si>
  <si>
    <t>สกลนคร Total</t>
  </si>
  <si>
    <t>นครพนม Total</t>
  </si>
  <si>
    <t>Grand Total</t>
  </si>
  <si>
    <t>รวมประมาณการเงิน OP+PP+IP (ก่อนปรับลดค่าแรง)</t>
  </si>
  <si>
    <t>ปรับค่า K</t>
  </si>
  <si>
    <t>ค่า K กลาง</t>
  </si>
  <si>
    <t>เขตปรับค่าK (ถ้ามี)</t>
  </si>
  <si>
    <t>ตรวจสอบผลการปรับเกลี่ย</t>
  </si>
  <si>
    <t>กันเงิน Virtual account ตามประกาศฯ (ถ้ามี) เงินกันนี้จะถูกนำไปหักจากรายรับ OP (ห้ามกันมากกว่ารายรับOP)</t>
  </si>
  <si>
    <t>ประมาณการเงินหลังหัก Virtual account</t>
  </si>
  <si>
    <t>เขตปรับเกลี่ยแล้ว</t>
  </si>
  <si>
    <t>คงเหลือเงินที่ยังไม่ปรับเกลี่ย</t>
  </si>
  <si>
    <t>[20]</t>
  </si>
  <si>
    <t>[21]</t>
  </si>
  <si>
    <t>[22]=[17]+[21]</t>
  </si>
  <si>
    <t>[23]</t>
  </si>
  <si>
    <t>[24]</t>
  </si>
  <si>
    <t>[25]=[23]+[24]</t>
  </si>
  <si>
    <t>[26]=[17]-[25]</t>
  </si>
  <si>
    <t>[27]=[22]-[25]</t>
  </si>
  <si>
    <t>ผลการตรวจสอบปรับเกลี่ย</t>
  </si>
  <si>
    <t>เขตปรับเกลี่ยเงินระดับเขต</t>
  </si>
  <si>
    <t>รวมประมาณการรายรับหลังปรับลดค่าแรง รวมปรับเกลี่ยเงินกันระดับเขต</t>
  </si>
  <si>
    <t>รวมเงินกัน Virtual account</t>
  </si>
  <si>
    <t>ประมาณการ rate หลังเขตปรับค่าK</t>
  </si>
  <si>
    <t>เขตปรับเกลี่ยเงินเติมตามเกณฑ์ สป.สธ.</t>
  </si>
  <si>
    <r>
      <t>รวมประมาณการรายรับ</t>
    </r>
    <r>
      <rPr>
        <sz val="10"/>
        <color theme="1"/>
        <rFont val="Calibri"/>
        <family val="2"/>
        <scheme val="minor"/>
      </rPr>
      <t>หลัง</t>
    </r>
    <r>
      <rPr>
        <sz val="10"/>
        <color theme="1"/>
        <rFont val="Calibri"/>
        <family val="2"/>
        <charset val="222"/>
        <scheme val="minor"/>
      </rPr>
      <t>ปรับลดค่าแรง รวมเงินเติมฯ</t>
    </r>
  </si>
  <si>
    <t>0012</t>
  </si>
  <si>
    <t>0013</t>
  </si>
  <si>
    <t>0016</t>
  </si>
  <si>
    <t>11924</t>
  </si>
  <si>
    <t>รพ.วีระพลการแพทย์</t>
  </si>
  <si>
    <t>11499</t>
  </si>
  <si>
    <t>รพ.กองบิน 23</t>
  </si>
  <si>
    <t>11501</t>
  </si>
  <si>
    <t>รพ.ค่ายประจักษ์ศิลปาคม</t>
  </si>
  <si>
    <t>12418</t>
  </si>
  <si>
    <t>หน่วยบริการประจำเทศบาลนครอุดรธานี</t>
  </si>
  <si>
    <t>11502</t>
  </si>
  <si>
    <t>รพ.ค่ายศรีสองรัก</t>
  </si>
  <si>
    <t>14558</t>
  </si>
  <si>
    <t>รพ.พิสัยเวช</t>
  </si>
  <si>
    <t>11505</t>
  </si>
  <si>
    <t>รพ.ค่ายกฤษณ์สีวะรา</t>
  </si>
  <si>
    <t>11506</t>
  </si>
  <si>
    <t>รพ.ค่ายพระยอดเมืองขวาง</t>
  </si>
  <si>
    <t>วงเงิน PP Non UC ระดับจังหวัด</t>
  </si>
  <si>
    <t>เขตสรรเงิน PP Non UC ให้ CUP</t>
  </si>
  <si>
    <t>[4]=[1]+…+[3]</t>
  </si>
  <si>
    <t>[6]=[4]-[5]</t>
  </si>
  <si>
    <t>[8]=[6]+[7]</t>
  </si>
  <si>
    <t>[10]=[8]-[9]</t>
  </si>
  <si>
    <t>[11]</t>
  </si>
  <si>
    <t>[12]</t>
  </si>
  <si>
    <t>ประมาณการเงิน IP รวม</t>
  </si>
  <si>
    <t>รวมประมาณการรายรับหลังปรับลดค่าแรง รวมเงินเติมฯ</t>
  </si>
  <si>
    <t>เงินกัน Virtual account (ถ้ามี)</t>
  </si>
  <si>
    <t>รวมประมาณการรายรับหลังหัก Virtual account</t>
  </si>
  <si>
    <t>sheet1. จัดสรรก่อน SK คือ ประมาณการรายรับ OP+PP+IP ก่อนปรับลดค่าแรง</t>
  </si>
  <si>
    <t>รหัส</t>
  </si>
  <si>
    <t>ชื่อหน่วยบริการ</t>
  </si>
  <si>
    <t>[19]=[17]-[18]</t>
  </si>
  <si>
    <t>ส่วนต่างของประมาณการรายรับกับยอดประกัน</t>
  </si>
  <si>
    <t>เงินเติมตามเกณฑ์ สป.สธ.ปี65</t>
  </si>
  <si>
    <t>ยอดเงินที่ประกันตามเกณฑ์ปี65</t>
  </si>
  <si>
    <t>รวมประมาณการรายรับหลังปรับลดค่าแรงปี65 รวมเงินเติมตามเกณฑ์</t>
  </si>
  <si>
    <t>ค่า K Final (ใช้ประมวลผลจ่ายปี65)</t>
  </si>
  <si>
    <r>
      <rPr>
        <sz val="10"/>
        <color rgb="FFFF0000"/>
        <rFont val="Calibri"/>
        <family val="2"/>
        <scheme val="minor"/>
      </rPr>
      <t>ยอดเงินประกันตามเกณฑ์ปี65</t>
    </r>
    <r>
      <rPr>
        <sz val="10"/>
        <color theme="1"/>
        <rFont val="Calibri"/>
        <family val="2"/>
        <charset val="222"/>
        <scheme val="minor"/>
      </rPr>
      <t xml:space="preserve"> (เขตต้องปรับเกลี่ยให้คอลัมภ์[17]ไม่น้อยกว่ายอดนี้)</t>
    </r>
  </si>
  <si>
    <t>[13]=[7]+…+[12]</t>
  </si>
  <si>
    <t>[10]=[4]*8,350</t>
  </si>
  <si>
    <t>เงินเติมตามเกณฑ์ สป.สธ.</t>
  </si>
  <si>
    <t>ผลการจัดสรรเงินสร้างเสริมสุขภาพและป้องกันโรค สำหรับประชากรสิทธิอื่น (Non UC) ปีงบประมาณ 2565</t>
  </si>
  <si>
    <t>ผลการจัดสรรเงินค่าบริการทางการแพทย์ OP/PP/IP สำหรับหน่วยบริการสังกัดสำนักงานปลัดกระทรวงสาธารณสุข ปีงบประมาณ 2565 (เขตปรับเกลี่ย)</t>
  </si>
  <si>
    <t>ค่า K ที่ใช้คำนวณ IP ปี65</t>
  </si>
  <si>
    <t>ประมาณการรายรับปี65 ไม่รวมเงินเติมระดับเขต หักด้วย Virtual account</t>
  </si>
  <si>
    <t>ประมาณการรายรรับปี65 รวมเงินเติมระดับเขต หักด้วย Virtual account</t>
  </si>
  <si>
    <t>sheet3. สรุปวงเงินเขต คือ ผลรวมวงเงินระดับเขตที่ได้รับจัดสรรตามหลักเกณฑ์ของ สป.สธ.ในsheet2 ,วงเงินกันระดับเขต(3,200 ล้านบาท)  ที่แต่ละเขตต้องปรับเกลี่ย</t>
  </si>
  <si>
    <r>
      <t xml:space="preserve">4.1 </t>
    </r>
    <r>
      <rPr>
        <sz val="11"/>
        <color rgb="FFC00000"/>
        <rFont val="Calibri"/>
        <family val="2"/>
        <scheme val="minor"/>
      </rPr>
      <t>(จะดำเนินการหรือไม่ก็ได้)</t>
    </r>
    <r>
      <rPr>
        <sz val="11"/>
        <color theme="1"/>
        <rFont val="Calibri"/>
        <family val="2"/>
        <charset val="222"/>
        <scheme val="minor"/>
      </rPr>
      <t xml:space="preserve"> ให้เขตปรับค่าKรายหน่วยบริการในคอลัมภ์ H เพื่อใช้คำนวณ IP </t>
    </r>
    <r>
      <rPr>
        <sz val="11"/>
        <color rgb="FFFF0000"/>
        <rFont val="Calibri"/>
        <family val="2"/>
        <scheme val="minor"/>
      </rPr>
      <t>(หากเขตไม่มีการปรับ จะใช้ค่าKกลางประเทศ)</t>
    </r>
  </si>
  <si>
    <r>
      <t xml:space="preserve">4.2 </t>
    </r>
    <r>
      <rPr>
        <sz val="11"/>
        <color rgb="FFC00000"/>
        <rFont val="Calibri"/>
        <family val="2"/>
        <scheme val="minor"/>
      </rPr>
      <t>(จะดำเนินการหรือไม่ก็ได้ การปรับนี้สัมพันธ์จากการปรับข้อ4.1)</t>
    </r>
    <r>
      <rPr>
        <sz val="11"/>
        <color theme="1"/>
        <rFont val="Calibri"/>
        <family val="2"/>
        <charset val="222"/>
        <scheme val="minor"/>
      </rPr>
      <t xml:space="preserve"> ให้เขตปรับเกลี่ยเงินเติมที่เขตได้รับจัดสรรตามเกณฑ์กลางให้กับ CUP ต่างๆภายใต้วงเงินที่เขตได้รับในคอลัมภ์ [16] ทั้งนี้ผลการปรับเกลี่ย ค่าK รวมกับการปรับเกลี่ยเงินเติมตามเกณฑ์ฯ แต่ละ CUP ต้องได้เงินไม่น้อยกว่ายอดประกันตามเกณฑ์ในคอลัมภ์ [18]</t>
    </r>
  </si>
  <si>
    <t>4.3 ให้เขตปรับเกลี่ยเงินกันระดับเขตที่เขตได้รับจัดสรร ให้กับ CUP ต่างๆ ภายใต้วงเงินของแต่ละเขตในคอลัมภ์ [21]</t>
  </si>
  <si>
    <r>
      <t>4.4 สำหรับจังหวัดที่ต้องกันเงิน Virtual account เพื่อวัตถุประสงค์OP Refer ข้ามจังหวัด และหรือ OP Refer ในจังหวัด/OP AE ในจังหวัด ให้ระบุจำนวนเงินที่จะกันจากแต่ละCUP โดยเงินกันนี้จะถูกนำไปหักในรายรับ OP ของแต่ละCUP ในคอลัมภ์</t>
    </r>
    <r>
      <rPr>
        <sz val="11"/>
        <color rgb="FFFF0000"/>
        <rFont val="Calibri"/>
        <family val="2"/>
        <scheme val="minor"/>
      </rPr>
      <t xml:space="preserve"> [23], [24]</t>
    </r>
  </si>
  <si>
    <t>ปรับเกลี่ยแล้ว</t>
  </si>
  <si>
    <t>คงเหลือยังไม่ปรับเกลี่ย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</si>
</sst>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,##0_ ;[Red]\-#,##0\ "/>
    <numFmt numFmtId="167" formatCode="#,##0.0000_ ;[Red]\-#,##0.0000\ "/>
    <numFmt numFmtId="168" formatCode="_-* #,##0.0000_-;\-* #,##0.0000_-;_-* &quot;-&quot;??_-;_-@_-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22"/>
      <scheme val="minor"/>
    </font>
    <font>
      <sz val="10"/>
      <color rgb="FFFF0000"/>
      <name val="Calibri"/>
      <family val="2"/>
      <charset val="222"/>
      <scheme val="min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22"/>
      <scheme val="minor"/>
    </font>
    <font>
      <sz val="10"/>
      <color theme="1"/>
      <name val="Tahoma"/>
      <family val="2"/>
    </font>
    <font>
      <b/>
      <sz val="12"/>
      <color rgb="FF0000FF"/>
      <name val="Calibri"/>
      <family val="2"/>
      <scheme val="minor"/>
    </font>
    <font>
      <b/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FF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43" fontId="7" fillId="0" borderId="0" xfId="5" applyFont="1" applyFill="1" applyBorder="1"/>
    <xf numFmtId="164" fontId="6" fillId="0" borderId="2" xfId="0" applyNumberFormat="1" applyFont="1" applyBorder="1"/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6" fillId="0" borderId="0" xfId="6" applyFont="1"/>
    <xf numFmtId="0" fontId="15" fillId="0" borderId="0" xfId="6" applyFont="1"/>
    <xf numFmtId="0" fontId="6" fillId="0" borderId="0" xfId="7" applyFont="1"/>
    <xf numFmtId="0" fontId="7" fillId="7" borderId="6" xfId="7" applyFont="1" applyFill="1" applyBorder="1" applyAlignment="1">
      <alignment horizontal="center" vertical="center" wrapText="1"/>
    </xf>
    <xf numFmtId="0" fontId="7" fillId="7" borderId="7" xfId="7" quotePrefix="1" applyFont="1" applyFill="1" applyBorder="1" applyAlignment="1">
      <alignment horizontal="center" vertical="center" wrapText="1"/>
    </xf>
    <xf numFmtId="0" fontId="7" fillId="0" borderId="0" xfId="7" quotePrefix="1" applyFont="1" applyAlignment="1">
      <alignment horizontal="center" vertical="center" wrapText="1"/>
    </xf>
    <xf numFmtId="0" fontId="6" fillId="4" borderId="6" xfId="6" applyFont="1" applyFill="1" applyBorder="1" applyAlignment="1">
      <alignment horizontal="center" vertical="center"/>
    </xf>
    <xf numFmtId="0" fontId="6" fillId="4" borderId="7" xfId="6" applyFont="1" applyFill="1" applyBorder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horizontal="center" vertical="center" wrapText="1"/>
    </xf>
    <xf numFmtId="0" fontId="7" fillId="0" borderId="8" xfId="7" applyFont="1" applyBorder="1" applyAlignment="1">
      <alignment horizontal="left"/>
    </xf>
    <xf numFmtId="43" fontId="7" fillId="0" borderId="9" xfId="5" applyFont="1" applyFill="1" applyBorder="1"/>
    <xf numFmtId="0" fontId="7" fillId="0" borderId="8" xfId="7" quotePrefix="1" applyFont="1" applyBorder="1" applyAlignment="1">
      <alignment horizontal="center" vertical="center" wrapText="1"/>
    </xf>
    <xf numFmtId="43" fontId="6" fillId="0" borderId="9" xfId="5" applyFont="1" applyBorder="1"/>
    <xf numFmtId="43" fontId="6" fillId="0" borderId="0" xfId="7" applyNumberFormat="1" applyFont="1"/>
    <xf numFmtId="43" fontId="7" fillId="0" borderId="0" xfId="4" applyFont="1" applyFill="1" applyBorder="1"/>
    <xf numFmtId="43" fontId="7" fillId="0" borderId="0" xfId="7" applyNumberFormat="1" applyFont="1"/>
    <xf numFmtId="2" fontId="6" fillId="0" borderId="0" xfId="7" applyNumberFormat="1" applyFont="1"/>
    <xf numFmtId="43" fontId="6" fillId="0" borderId="0" xfId="4" applyFont="1" applyFill="1" applyBorder="1"/>
    <xf numFmtId="0" fontId="6" fillId="0" borderId="0" xfId="7" applyFont="1" applyAlignment="1">
      <alignment horizontal="center"/>
    </xf>
    <xf numFmtId="43" fontId="7" fillId="8" borderId="8" xfId="5" quotePrefix="1" applyFont="1" applyFill="1" applyBorder="1" applyAlignment="1">
      <alignment horizontal="center" vertical="center"/>
    </xf>
    <xf numFmtId="43" fontId="6" fillId="8" borderId="9" xfId="5" applyFont="1" applyFill="1" applyBorder="1"/>
    <xf numFmtId="0" fontId="6" fillId="0" borderId="0" xfId="7" quotePrefix="1" applyFont="1" applyAlignment="1">
      <alignment horizontal="center"/>
    </xf>
    <xf numFmtId="165" fontId="6" fillId="0" borderId="0" xfId="4" applyNumberFormat="1" applyFont="1" applyFill="1" applyBorder="1"/>
    <xf numFmtId="0" fontId="8" fillId="0" borderId="0" xfId="7" applyFont="1"/>
    <xf numFmtId="0" fontId="7" fillId="0" borderId="0" xfId="7" applyFont="1"/>
    <xf numFmtId="43" fontId="6" fillId="0" borderId="0" xfId="7" applyNumberFormat="1" applyFont="1" applyAlignment="1">
      <alignment horizontal="center"/>
    </xf>
    <xf numFmtId="165" fontId="7" fillId="0" borderId="0" xfId="4" applyNumberFormat="1" applyFont="1" applyFill="1" applyBorder="1"/>
    <xf numFmtId="43" fontId="16" fillId="0" borderId="0" xfId="7" applyNumberFormat="1" applyFont="1"/>
    <xf numFmtId="0" fontId="17" fillId="2" borderId="8" xfId="7" applyFont="1" applyFill="1" applyBorder="1"/>
    <xf numFmtId="43" fontId="17" fillId="2" borderId="9" xfId="5" applyFont="1" applyFill="1" applyBorder="1"/>
    <xf numFmtId="43" fontId="17" fillId="0" borderId="0" xfId="5" applyFont="1" applyFill="1" applyBorder="1"/>
    <xf numFmtId="165" fontId="6" fillId="0" borderId="0" xfId="7" applyNumberFormat="1" applyFont="1" applyAlignment="1">
      <alignment horizontal="center"/>
    </xf>
    <xf numFmtId="0" fontId="7" fillId="0" borderId="8" xfId="7" applyFont="1" applyBorder="1"/>
    <xf numFmtId="10" fontId="6" fillId="0" borderId="0" xfId="8" applyNumberFormat="1" applyFont="1" applyFill="1" applyBorder="1"/>
    <xf numFmtId="0" fontId="16" fillId="0" borderId="0" xfId="7" applyFont="1" applyAlignment="1">
      <alignment horizontal="center"/>
    </xf>
    <xf numFmtId="0" fontId="16" fillId="0" borderId="0" xfId="7" quotePrefix="1" applyFont="1" applyAlignment="1">
      <alignment horizontal="center"/>
    </xf>
    <xf numFmtId="0" fontId="17" fillId="7" borderId="10" xfId="7" applyFont="1" applyFill="1" applyBorder="1"/>
    <xf numFmtId="43" fontId="17" fillId="7" borderId="11" xfId="5" applyFont="1" applyFill="1" applyBorder="1"/>
    <xf numFmtId="0" fontId="7" fillId="0" borderId="0" xfId="6" applyFont="1"/>
    <xf numFmtId="43" fontId="7" fillId="0" borderId="0" xfId="5" applyFont="1" applyBorder="1"/>
    <xf numFmtId="0" fontId="6" fillId="4" borderId="10" xfId="6" applyFont="1" applyFill="1" applyBorder="1" applyAlignment="1">
      <alignment horizontal="center"/>
    </xf>
    <xf numFmtId="43" fontId="6" fillId="4" borderId="11" xfId="6" applyNumberFormat="1" applyFont="1" applyFill="1" applyBorder="1"/>
    <xf numFmtId="0" fontId="7" fillId="0" borderId="0" xfId="6" applyFont="1" applyAlignment="1">
      <alignment vertical="center" wrapText="1"/>
    </xf>
    <xf numFmtId="43" fontId="7" fillId="0" borderId="0" xfId="4" applyFont="1" applyFill="1" applyBorder="1" applyAlignment="1">
      <alignment horizontal="right"/>
    </xf>
    <xf numFmtId="0" fontId="6" fillId="0" borderId="0" xfId="7" applyFont="1" applyAlignment="1">
      <alignment horizontal="right"/>
    </xf>
    <xf numFmtId="0" fontId="6" fillId="0" borderId="0" xfId="0" applyFont="1" applyFill="1"/>
    <xf numFmtId="0" fontId="6" fillId="6" borderId="1" xfId="0" applyFont="1" applyFill="1" applyBorder="1"/>
    <xf numFmtId="0" fontId="6" fillId="6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165" fontId="6" fillId="0" borderId="2" xfId="1" applyNumberFormat="1" applyFont="1" applyFill="1" applyBorder="1"/>
    <xf numFmtId="43" fontId="6" fillId="0" borderId="2" xfId="1" applyFont="1" applyFill="1" applyBorder="1"/>
    <xf numFmtId="43" fontId="6" fillId="0" borderId="2" xfId="0" applyNumberFormat="1" applyFont="1" applyFill="1" applyBorder="1"/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16" fillId="5" borderId="2" xfId="0" applyFont="1" applyFill="1" applyBorder="1"/>
    <xf numFmtId="0" fontId="6" fillId="6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3" fontId="10" fillId="5" borderId="15" xfId="4" applyFont="1" applyFill="1" applyBorder="1" applyAlignment="1" applyProtection="1"/>
    <xf numFmtId="43" fontId="11" fillId="0" borderId="0" xfId="4" applyFont="1" applyFill="1" applyBorder="1" applyAlignment="1" applyProtection="1">
      <alignment horizontal="right"/>
    </xf>
    <xf numFmtId="164" fontId="11" fillId="0" borderId="0" xfId="5" applyNumberFormat="1" applyFont="1" applyFill="1" applyBorder="1" applyAlignment="1" applyProtection="1">
      <alignment horizontal="right"/>
    </xf>
    <xf numFmtId="164" fontId="6" fillId="0" borderId="2" xfId="5" applyNumberFormat="1" applyFont="1" applyFill="1" applyBorder="1" applyProtection="1"/>
    <xf numFmtId="164" fontId="6" fillId="6" borderId="2" xfId="2" applyNumberFormat="1" applyFont="1" applyFill="1" applyBorder="1" applyProtection="1">
      <protection locked="0"/>
    </xf>
    <xf numFmtId="0" fontId="6" fillId="0" borderId="0" xfId="0" applyFont="1" applyAlignment="1">
      <alignment horizontal="center" vertical="center"/>
    </xf>
    <xf numFmtId="0" fontId="14" fillId="0" borderId="0" xfId="9" applyFont="1"/>
    <xf numFmtId="0" fontId="21" fillId="0" borderId="2" xfId="9" applyFont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Protection="1">
      <protection locked="0"/>
    </xf>
    <xf numFmtId="0" fontId="6" fillId="0" borderId="0" xfId="0" applyFont="1" applyProtection="1"/>
    <xf numFmtId="164" fontId="6" fillId="5" borderId="3" xfId="2" applyNumberFormat="1" applyFont="1" applyFill="1" applyBorder="1" applyProtection="1"/>
    <xf numFmtId="0" fontId="10" fillId="5" borderId="0" xfId="7" applyFont="1" applyFill="1" applyProtection="1"/>
    <xf numFmtId="164" fontId="6" fillId="5" borderId="17" xfId="2" applyNumberFormat="1" applyFont="1" applyFill="1" applyBorder="1" applyProtection="1"/>
    <xf numFmtId="0" fontId="10" fillId="5" borderId="19" xfId="7" applyFont="1" applyFill="1" applyBorder="1" applyProtection="1"/>
    <xf numFmtId="164" fontId="6" fillId="5" borderId="20" xfId="2" applyNumberFormat="1" applyFont="1" applyFill="1" applyBorder="1" applyProtection="1"/>
    <xf numFmtId="0" fontId="6" fillId="6" borderId="1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6" fillId="6" borderId="3" xfId="2" applyFont="1" applyFill="1" applyBorder="1" applyAlignment="1" applyProtection="1">
      <alignment horizontal="center" vertical="center" wrapText="1"/>
    </xf>
    <xf numFmtId="43" fontId="10" fillId="6" borderId="2" xfId="7" applyNumberFormat="1" applyFont="1" applyFill="1" applyBorder="1" applyAlignment="1" applyProtection="1">
      <alignment horizontal="center" vertical="center"/>
    </xf>
    <xf numFmtId="0" fontId="6" fillId="0" borderId="20" xfId="2" applyFont="1" applyBorder="1" applyAlignment="1" applyProtection="1">
      <alignment horizontal="center" vertical="center" wrapText="1"/>
    </xf>
    <xf numFmtId="0" fontId="6" fillId="0" borderId="18" xfId="2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4" xfId="2" applyFont="1" applyFill="1" applyBorder="1" applyAlignment="1" applyProtection="1">
      <alignment horizontal="center" vertical="center" wrapText="1"/>
    </xf>
    <xf numFmtId="0" fontId="6" fillId="9" borderId="4" xfId="2" applyFont="1" applyFill="1" applyBorder="1" applyAlignment="1" applyProtection="1">
      <alignment horizontal="center" vertical="center" wrapText="1"/>
    </xf>
    <xf numFmtId="0" fontId="9" fillId="6" borderId="4" xfId="2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6" fillId="6" borderId="2" xfId="2" applyFont="1" applyFill="1" applyBorder="1" applyAlignment="1" applyProtection="1">
      <alignment horizontal="center" vertical="center" wrapText="1"/>
    </xf>
    <xf numFmtId="0" fontId="6" fillId="9" borderId="2" xfId="2" applyFont="1" applyFill="1" applyBorder="1" applyAlignment="1" applyProtection="1">
      <alignment horizontal="center" vertical="center" wrapText="1"/>
    </xf>
    <xf numFmtId="0" fontId="6" fillId="6" borderId="12" xfId="2" applyFont="1" applyFill="1" applyBorder="1" applyAlignment="1" applyProtection="1">
      <alignment horizontal="center" vertical="center" wrapText="1"/>
    </xf>
    <xf numFmtId="0" fontId="7" fillId="6" borderId="2" xfId="2" applyFont="1" applyFill="1" applyBorder="1" applyAlignment="1" applyProtection="1">
      <alignment horizontal="center" vertical="center" wrapText="1"/>
    </xf>
    <xf numFmtId="0" fontId="7" fillId="6" borderId="12" xfId="2" applyFont="1" applyFill="1" applyBorder="1" applyAlignment="1" applyProtection="1">
      <alignment horizontal="center" vertical="center" wrapText="1"/>
    </xf>
    <xf numFmtId="0" fontId="6" fillId="9" borderId="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/>
    </xf>
    <xf numFmtId="0" fontId="6" fillId="0" borderId="2" xfId="0" applyFont="1" applyFill="1" applyBorder="1" applyProtection="1"/>
    <xf numFmtId="164" fontId="6" fillId="0" borderId="2" xfId="1" applyNumberFormat="1" applyFont="1" applyFill="1" applyBorder="1" applyProtection="1"/>
    <xf numFmtId="166" fontId="6" fillId="0" borderId="2" xfId="1" applyNumberFormat="1" applyFont="1" applyFill="1" applyBorder="1" applyProtection="1"/>
    <xf numFmtId="164" fontId="6" fillId="0" borderId="2" xfId="0" applyNumberFormat="1" applyFont="1" applyFill="1" applyBorder="1" applyProtection="1"/>
    <xf numFmtId="167" fontId="6" fillId="0" borderId="2" xfId="1" applyNumberFormat="1" applyFont="1" applyFill="1" applyBorder="1" applyProtection="1"/>
    <xf numFmtId="164" fontId="6" fillId="0" borderId="2" xfId="2" applyNumberFormat="1" applyFont="1" applyBorder="1" applyProtection="1"/>
    <xf numFmtId="164" fontId="6" fillId="0" borderId="2" xfId="2" applyNumberFormat="1" applyFont="1" applyBorder="1" applyAlignment="1" applyProtection="1">
      <alignment horizontal="center"/>
    </xf>
    <xf numFmtId="0" fontId="6" fillId="0" borderId="0" xfId="0" applyFont="1" applyFill="1" applyProtection="1"/>
    <xf numFmtId="164" fontId="6" fillId="6" borderId="2" xfId="0" applyNumberFormat="1" applyFont="1" applyFill="1" applyBorder="1" applyProtection="1">
      <protection locked="0"/>
    </xf>
    <xf numFmtId="0" fontId="6" fillId="6" borderId="5" xfId="2" applyFont="1" applyFill="1" applyBorder="1" applyAlignment="1">
      <alignment horizontal="center" vertical="center" wrapText="1"/>
    </xf>
    <xf numFmtId="0" fontId="6" fillId="6" borderId="14" xfId="0" applyFont="1" applyFill="1" applyBorder="1"/>
    <xf numFmtId="0" fontId="6" fillId="6" borderId="18" xfId="0" applyFont="1" applyFill="1" applyBorder="1" applyAlignment="1">
      <alignment horizontal="center" vertical="center" wrapText="1"/>
    </xf>
    <xf numFmtId="168" fontId="6" fillId="0" borderId="2" xfId="1" applyNumberFormat="1" applyFont="1" applyFill="1" applyBorder="1"/>
    <xf numFmtId="0" fontId="21" fillId="5" borderId="2" xfId="9" applyFont="1" applyFill="1" applyBorder="1" applyAlignment="1">
      <alignment vertical="center"/>
    </xf>
    <xf numFmtId="0" fontId="22" fillId="5" borderId="2" xfId="9" applyFont="1" applyFill="1" applyBorder="1" applyAlignment="1">
      <alignment vertical="center"/>
    </xf>
    <xf numFmtId="164" fontId="6" fillId="5" borderId="2" xfId="0" applyNumberFormat="1" applyFont="1" applyFill="1" applyBorder="1"/>
    <xf numFmtId="0" fontId="21" fillId="11" borderId="1" xfId="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1" fillId="0" borderId="12" xfId="9" applyFont="1" applyBorder="1" applyAlignment="1">
      <alignment vertical="center"/>
    </xf>
    <xf numFmtId="164" fontId="14" fillId="0" borderId="4" xfId="9" applyNumberFormat="1" applyFont="1" applyBorder="1" applyProtection="1">
      <protection locked="0"/>
    </xf>
    <xf numFmtId="0" fontId="14" fillId="2" borderId="21" xfId="9" applyFont="1" applyFill="1" applyBorder="1"/>
    <xf numFmtId="43" fontId="10" fillId="6" borderId="2" xfId="7" applyNumberFormat="1" applyFont="1" applyFill="1" applyBorder="1" applyAlignment="1">
      <alignment horizontal="center" vertical="center"/>
    </xf>
    <xf numFmtId="43" fontId="6" fillId="0" borderId="2" xfId="1" applyNumberFormat="1" applyFont="1" applyFill="1" applyBorder="1"/>
    <xf numFmtId="0" fontId="6" fillId="12" borderId="2" xfId="0" applyFont="1" applyFill="1" applyBorder="1" applyAlignment="1">
      <alignment horizontal="center"/>
    </xf>
    <xf numFmtId="0" fontId="6" fillId="12" borderId="2" xfId="0" applyFont="1" applyFill="1" applyBorder="1"/>
    <xf numFmtId="0" fontId="16" fillId="12" borderId="2" xfId="0" applyFont="1" applyFill="1" applyBorder="1"/>
    <xf numFmtId="165" fontId="6" fillId="12" borderId="2" xfId="1" applyNumberFormat="1" applyFont="1" applyFill="1" applyBorder="1"/>
    <xf numFmtId="43" fontId="6" fillId="12" borderId="2" xfId="1" applyNumberFormat="1" applyFont="1" applyFill="1" applyBorder="1"/>
    <xf numFmtId="165" fontId="6" fillId="5" borderId="2" xfId="1" applyNumberFormat="1" applyFont="1" applyFill="1" applyBorder="1"/>
    <xf numFmtId="43" fontId="6" fillId="5" borderId="2" xfId="1" applyNumberFormat="1" applyFont="1" applyFill="1" applyBorder="1"/>
    <xf numFmtId="43" fontId="6" fillId="12" borderId="2" xfId="1" applyFont="1" applyFill="1" applyBorder="1"/>
    <xf numFmtId="168" fontId="6" fillId="12" borderId="2" xfId="1" applyNumberFormat="1" applyFont="1" applyFill="1" applyBorder="1"/>
    <xf numFmtId="43" fontId="6" fillId="5" borderId="2" xfId="1" applyFont="1" applyFill="1" applyBorder="1"/>
    <xf numFmtId="168" fontId="6" fillId="5" borderId="2" xfId="1" applyNumberFormat="1" applyFont="1" applyFill="1" applyBorder="1"/>
    <xf numFmtId="0" fontId="6" fillId="0" borderId="0" xfId="0" applyFont="1" applyFill="1" applyBorder="1" applyProtection="1"/>
    <xf numFmtId="0" fontId="6" fillId="0" borderId="13" xfId="0" applyFont="1" applyFill="1" applyBorder="1" applyProtection="1"/>
    <xf numFmtId="0" fontId="6" fillId="0" borderId="5" xfId="0" applyFont="1" applyFill="1" applyBorder="1" applyAlignment="1" applyProtection="1">
      <alignment horizontal="center"/>
    </xf>
    <xf numFmtId="0" fontId="6" fillId="0" borderId="5" xfId="0" applyFont="1" applyFill="1" applyBorder="1" applyProtection="1"/>
    <xf numFmtId="164" fontId="6" fillId="0" borderId="5" xfId="1" applyNumberFormat="1" applyFont="1" applyFill="1" applyBorder="1" applyProtection="1"/>
    <xf numFmtId="164" fontId="6" fillId="6" borderId="5" xfId="1" applyNumberFormat="1" applyFont="1" applyFill="1" applyBorder="1" applyProtection="1">
      <protection locked="0"/>
    </xf>
    <xf numFmtId="164" fontId="6" fillId="0" borderId="5" xfId="5" applyNumberFormat="1" applyFont="1" applyFill="1" applyBorder="1" applyProtection="1"/>
    <xf numFmtId="166" fontId="6" fillId="0" borderId="5" xfId="1" applyNumberFormat="1" applyFont="1" applyFill="1" applyBorder="1" applyProtection="1"/>
    <xf numFmtId="164" fontId="6" fillId="0" borderId="5" xfId="0" applyNumberFormat="1" applyFont="1" applyFill="1" applyBorder="1" applyProtection="1"/>
    <xf numFmtId="167" fontId="6" fillId="0" borderId="5" xfId="1" applyNumberFormat="1" applyFont="1" applyFill="1" applyBorder="1" applyProtection="1"/>
    <xf numFmtId="164" fontId="6" fillId="6" borderId="5" xfId="2" applyNumberFormat="1" applyFont="1" applyFill="1" applyBorder="1" applyProtection="1">
      <protection locked="0"/>
    </xf>
    <xf numFmtId="164" fontId="6" fillId="0" borderId="5" xfId="2" applyNumberFormat="1" applyFont="1" applyBorder="1" applyProtection="1"/>
    <xf numFmtId="164" fontId="6" fillId="0" borderId="5" xfId="0" applyNumberFormat="1" applyFont="1" applyBorder="1"/>
    <xf numFmtId="164" fontId="6" fillId="0" borderId="5" xfId="2" applyNumberFormat="1" applyFont="1" applyBorder="1" applyAlignment="1" applyProtection="1">
      <alignment horizontal="center"/>
    </xf>
    <xf numFmtId="164" fontId="6" fillId="6" borderId="5" xfId="0" applyNumberFormat="1" applyFont="1" applyFill="1" applyBorder="1" applyProtection="1">
      <protection locked="0"/>
    </xf>
    <xf numFmtId="0" fontId="6" fillId="5" borderId="2" xfId="0" applyFont="1" applyFill="1" applyBorder="1" applyAlignment="1" applyProtection="1">
      <alignment horizontal="center"/>
    </xf>
    <xf numFmtId="0" fontId="6" fillId="5" borderId="2" xfId="0" applyFont="1" applyFill="1" applyBorder="1" applyProtection="1"/>
    <xf numFmtId="0" fontId="16" fillId="5" borderId="2" xfId="0" applyFont="1" applyFill="1" applyBorder="1" applyProtection="1"/>
    <xf numFmtId="164" fontId="6" fillId="5" borderId="2" xfId="1" applyNumberFormat="1" applyFont="1" applyFill="1" applyBorder="1" applyProtection="1"/>
    <xf numFmtId="166" fontId="6" fillId="5" borderId="2" xfId="1" applyNumberFormat="1" applyFont="1" applyFill="1" applyBorder="1" applyProtection="1"/>
    <xf numFmtId="164" fontId="6" fillId="5" borderId="2" xfId="0" applyNumberFormat="1" applyFont="1" applyFill="1" applyBorder="1" applyProtection="1"/>
    <xf numFmtId="167" fontId="6" fillId="5" borderId="2" xfId="1" applyNumberFormat="1" applyFont="1" applyFill="1" applyBorder="1" applyProtection="1"/>
    <xf numFmtId="164" fontId="6" fillId="5" borderId="2" xfId="5" applyNumberFormat="1" applyFont="1" applyFill="1" applyBorder="1" applyProtection="1"/>
    <xf numFmtId="164" fontId="6" fillId="5" borderId="2" xfId="2" applyNumberFormat="1" applyFont="1" applyFill="1" applyBorder="1" applyProtection="1"/>
    <xf numFmtId="164" fontId="6" fillId="5" borderId="2" xfId="2" applyNumberFormat="1" applyFont="1" applyFill="1" applyBorder="1" applyAlignment="1" applyProtection="1">
      <alignment horizontal="center"/>
    </xf>
    <xf numFmtId="164" fontId="6" fillId="5" borderId="2" xfId="0" applyNumberFormat="1" applyFont="1" applyFill="1" applyBorder="1" applyProtection="1">
      <protection locked="0"/>
    </xf>
    <xf numFmtId="0" fontId="6" fillId="12" borderId="2" xfId="0" applyFont="1" applyFill="1" applyBorder="1" applyAlignment="1" applyProtection="1">
      <alignment horizontal="center"/>
    </xf>
    <xf numFmtId="0" fontId="6" fillId="12" borderId="2" xfId="0" applyFont="1" applyFill="1" applyBorder="1" applyProtection="1"/>
    <xf numFmtId="0" fontId="16" fillId="12" borderId="2" xfId="0" applyFont="1" applyFill="1" applyBorder="1" applyProtection="1"/>
    <xf numFmtId="164" fontId="6" fillId="12" borderId="2" xfId="1" applyNumberFormat="1" applyFont="1" applyFill="1" applyBorder="1" applyProtection="1"/>
    <xf numFmtId="164" fontId="6" fillId="12" borderId="2" xfId="1" applyNumberFormat="1" applyFont="1" applyFill="1" applyBorder="1" applyProtection="1">
      <protection locked="0"/>
    </xf>
    <xf numFmtId="164" fontId="6" fillId="12" borderId="2" xfId="5" applyNumberFormat="1" applyFont="1" applyFill="1" applyBorder="1" applyProtection="1"/>
    <xf numFmtId="166" fontId="6" fillId="12" borderId="2" xfId="1" applyNumberFormat="1" applyFont="1" applyFill="1" applyBorder="1" applyProtection="1"/>
    <xf numFmtId="164" fontId="6" fillId="12" borderId="2" xfId="0" applyNumberFormat="1" applyFont="1" applyFill="1" applyBorder="1" applyProtection="1"/>
    <xf numFmtId="167" fontId="6" fillId="12" borderId="2" xfId="1" applyNumberFormat="1" applyFont="1" applyFill="1" applyBorder="1" applyProtection="1"/>
    <xf numFmtId="164" fontId="6" fillId="12" borderId="2" xfId="2" applyNumberFormat="1" applyFont="1" applyFill="1" applyBorder="1" applyProtection="1"/>
    <xf numFmtId="164" fontId="6" fillId="12" borderId="2" xfId="0" applyNumberFormat="1" applyFont="1" applyFill="1" applyBorder="1"/>
    <xf numFmtId="164" fontId="6" fillId="12" borderId="2" xfId="2" applyNumberFormat="1" applyFont="1" applyFill="1" applyBorder="1" applyAlignment="1" applyProtection="1">
      <alignment horizontal="center"/>
    </xf>
    <xf numFmtId="164" fontId="6" fillId="12" borderId="2" xfId="0" applyNumberFormat="1" applyFont="1" applyFill="1" applyBorder="1" applyProtection="1">
      <protection locked="0"/>
    </xf>
    <xf numFmtId="43" fontId="6" fillId="0" borderId="0" xfId="1" applyFont="1"/>
    <xf numFmtId="43" fontId="6" fillId="0" borderId="0" xfId="0" applyNumberFormat="1" applyFont="1"/>
    <xf numFmtId="43" fontId="6" fillId="0" borderId="0" xfId="1" applyFont="1" applyProtection="1"/>
    <xf numFmtId="0" fontId="21" fillId="0" borderId="1" xfId="9" applyFont="1" applyBorder="1" applyAlignment="1">
      <alignment vertical="center"/>
    </xf>
    <xf numFmtId="0" fontId="21" fillId="0" borderId="14" xfId="9" applyFont="1" applyBorder="1" applyAlignment="1">
      <alignment vertical="center"/>
    </xf>
    <xf numFmtId="164" fontId="14" fillId="0" borderId="3" xfId="9" applyNumberFormat="1" applyFont="1" applyBorder="1" applyProtection="1">
      <protection locked="0"/>
    </xf>
    <xf numFmtId="0" fontId="21" fillId="0" borderId="5" xfId="9" applyFont="1" applyBorder="1" applyAlignment="1">
      <alignment vertical="center"/>
    </xf>
    <xf numFmtId="0" fontId="21" fillId="0" borderId="18" xfId="9" applyFont="1" applyBorder="1" applyAlignment="1">
      <alignment vertical="center"/>
    </xf>
    <xf numFmtId="164" fontId="14" fillId="0" borderId="20" xfId="9" applyNumberFormat="1" applyFont="1" applyBorder="1" applyProtection="1">
      <protection locked="0"/>
    </xf>
    <xf numFmtId="164" fontId="14" fillId="5" borderId="2" xfId="9" applyNumberFormat="1" applyFont="1" applyFill="1" applyBorder="1" applyProtection="1">
      <protection locked="0"/>
    </xf>
    <xf numFmtId="0" fontId="21" fillId="12" borderId="2" xfId="9" applyFont="1" applyFill="1" applyBorder="1" applyAlignment="1">
      <alignment vertical="center"/>
    </xf>
    <xf numFmtId="0" fontId="22" fillId="12" borderId="2" xfId="9" applyFont="1" applyFill="1" applyBorder="1" applyAlignment="1">
      <alignment vertical="center"/>
    </xf>
    <xf numFmtId="164" fontId="14" fillId="12" borderId="2" xfId="9" applyNumberFormat="1" applyFont="1" applyFill="1" applyBorder="1" applyProtection="1">
      <protection locked="0"/>
    </xf>
    <xf numFmtId="164" fontId="14" fillId="2" borderId="2" xfId="9" applyNumberFormat="1" applyFont="1" applyFill="1" applyBorder="1"/>
    <xf numFmtId="0" fontId="6" fillId="6" borderId="1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 wrapText="1"/>
    </xf>
    <xf numFmtId="43" fontId="6" fillId="13" borderId="0" xfId="0" applyNumberFormat="1" applyFont="1" applyFill="1" applyAlignment="1">
      <alignment horizontal="right"/>
    </xf>
    <xf numFmtId="43" fontId="6" fillId="13" borderId="0" xfId="0" applyNumberFormat="1" applyFont="1" applyFill="1"/>
    <xf numFmtId="0" fontId="6" fillId="13" borderId="0" xfId="0" applyFont="1" applyFill="1" applyAlignment="1">
      <alignment horizontal="right"/>
    </xf>
    <xf numFmtId="164" fontId="6" fillId="13" borderId="0" xfId="0" applyNumberFormat="1" applyFont="1" applyFill="1"/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43" fontId="10" fillId="3" borderId="14" xfId="7" applyNumberFormat="1" applyFont="1" applyFill="1" applyBorder="1" applyAlignment="1" applyProtection="1">
      <alignment horizontal="center" vertical="center"/>
    </xf>
    <xf numFmtId="43" fontId="10" fillId="3" borderId="15" xfId="7" applyNumberFormat="1" applyFont="1" applyFill="1" applyBorder="1" applyAlignment="1" applyProtection="1">
      <alignment horizontal="center" vertical="center"/>
    </xf>
    <xf numFmtId="43" fontId="10" fillId="3" borderId="3" xfId="7" applyNumberFormat="1" applyFont="1" applyFill="1" applyBorder="1" applyAlignment="1" applyProtection="1">
      <alignment horizontal="center" vertical="center"/>
    </xf>
    <xf numFmtId="43" fontId="10" fillId="3" borderId="16" xfId="7" applyNumberFormat="1" applyFont="1" applyFill="1" applyBorder="1" applyAlignment="1" applyProtection="1">
      <alignment horizontal="center" vertical="center"/>
    </xf>
    <xf numFmtId="43" fontId="10" fillId="3" borderId="0" xfId="7" applyNumberFormat="1" applyFont="1" applyFill="1" applyAlignment="1" applyProtection="1">
      <alignment horizontal="center" vertical="center"/>
    </xf>
    <xf numFmtId="43" fontId="10" fillId="3" borderId="17" xfId="7" applyNumberFormat="1" applyFont="1" applyFill="1" applyBorder="1" applyAlignment="1" applyProtection="1">
      <alignment horizontal="center" vertical="center"/>
    </xf>
    <xf numFmtId="43" fontId="10" fillId="3" borderId="18" xfId="7" applyNumberFormat="1" applyFont="1" applyFill="1" applyBorder="1" applyAlignment="1" applyProtection="1">
      <alignment horizontal="center" vertical="center"/>
    </xf>
    <xf numFmtId="43" fontId="10" fillId="3" borderId="19" xfId="7" applyNumberFormat="1" applyFont="1" applyFill="1" applyBorder="1" applyAlignment="1" applyProtection="1">
      <alignment horizontal="center" vertical="center"/>
    </xf>
    <xf numFmtId="43" fontId="10" fillId="3" borderId="20" xfId="7" applyNumberFormat="1" applyFont="1" applyFill="1" applyBorder="1" applyAlignment="1" applyProtection="1">
      <alignment horizontal="center" vertical="center"/>
    </xf>
    <xf numFmtId="0" fontId="9" fillId="7" borderId="14" xfId="0" applyFont="1" applyFill="1" applyBorder="1" applyAlignment="1" applyProtection="1">
      <alignment horizontal="center" vertical="center" wrapText="1"/>
    </xf>
    <xf numFmtId="0" fontId="9" fillId="7" borderId="15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16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17" xfId="0" applyFont="1" applyFill="1" applyBorder="1" applyAlignment="1" applyProtection="1">
      <alignment horizontal="center" vertical="center" wrapText="1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9" xfId="0" applyFont="1" applyFill="1" applyBorder="1" applyAlignment="1" applyProtection="1">
      <alignment horizontal="center" vertical="center" wrapText="1"/>
    </xf>
    <xf numFmtId="0" fontId="9" fillId="7" borderId="20" xfId="0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2" applyFont="1" applyAlignment="1">
      <alignment horizontal="center"/>
    </xf>
  </cellXfs>
  <cellStyles count="10">
    <cellStyle name="Comma" xfId="1" builtinId="3"/>
    <cellStyle name="Comma 2" xfId="5" xr:uid="{68CB19FB-D699-4E3B-9E47-7AAB51792089}"/>
    <cellStyle name="Comma 3" xfId="4" xr:uid="{B536570B-431E-47C5-9C81-7D1F012C93DF}"/>
    <cellStyle name="Normal" xfId="0" builtinId="0"/>
    <cellStyle name="Normal 2" xfId="9" xr:uid="{B9E72BB2-406D-4EAB-880A-8215DBD58A4F}"/>
    <cellStyle name="Normal 2 2" xfId="2" xr:uid="{08D4F05C-B3ED-4384-8736-E4FFDFD4DF30}"/>
    <cellStyle name="Normal 2 2 2" xfId="3" xr:uid="{9FA498CE-E9B3-41B6-9420-699C27A86C73}"/>
    <cellStyle name="Normal 2 4" xfId="6" xr:uid="{A276E633-C2E0-4930-88A5-5944D0924D29}"/>
    <cellStyle name="Normal 3" xfId="7" xr:uid="{B15F435D-DC30-48E3-AB85-7FDAD30B1E78}"/>
    <cellStyle name="Percent 2" xfId="8" xr:uid="{625AE1F5-E968-4963-8A9D-E4CF4FC397B9}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D_IT\&#3600;&#3634;&#3609;&#3586;&#3657;&#3629;&#3617;&#3641;&#3621;&#3585;&#3621;&#3634;&#3591;\&#3586;&#3657;&#3629;&#3617;&#3641;&#3621;&#3619;&#3627;&#3633;&#3626;&#3627;&#3621;&#3633;&#3585;_&#3611;&#3637;2545-55\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DriveD_IT\1&#3600;&#3634;&#3609;&#3586;&#3657;&#3629;&#3617;&#3641;&#3621;&#3585;&#3621;&#3634;&#3591;\&#3586;&#3657;&#3629;&#3617;&#3641;&#3621;&#3607;&#3635;&#3648;&#3609;&#3637;&#3618;&#3610;&#3626;&#3606;&#3634;&#3609;&#3610;&#3619;&#3636;&#3585;&#3634;&#3619;_&#3611;&#3637;2551-59\&#3648;&#3605;&#3619;&#3637;&#3618;&#3617;&#3586;&#3657;&#3629;&#3617;&#3641;&#3621;&#3619;&#3614;&#3611;&#3637;2560_18&#3605;&#3588;59\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\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489C-5877-4363-A8B2-85A713A00D01}">
  <sheetPr codeName="Sheet1"/>
  <dimension ref="A1:C15"/>
  <sheetViews>
    <sheetView workbookViewId="0">
      <selection activeCell="A3" sqref="A3"/>
    </sheetView>
  </sheetViews>
  <sheetFormatPr defaultRowHeight="14.5"/>
  <cols>
    <col min="1" max="1" width="6.453125" customWidth="1"/>
  </cols>
  <sheetData>
    <row r="1" spans="1:3">
      <c r="A1" s="1" t="s">
        <v>0</v>
      </c>
    </row>
    <row r="2" spans="1:3">
      <c r="A2" t="s">
        <v>1</v>
      </c>
    </row>
    <row r="3" spans="1:3">
      <c r="B3" t="s">
        <v>342</v>
      </c>
    </row>
    <row r="4" spans="1:3">
      <c r="B4" t="s">
        <v>2</v>
      </c>
    </row>
    <row r="5" spans="1:3">
      <c r="B5" t="s">
        <v>360</v>
      </c>
    </row>
    <row r="6" spans="1:3">
      <c r="B6" t="s">
        <v>3</v>
      </c>
    </row>
    <row r="7" spans="1:3">
      <c r="C7" t="s">
        <v>361</v>
      </c>
    </row>
    <row r="8" spans="1:3">
      <c r="C8" t="s">
        <v>362</v>
      </c>
    </row>
    <row r="9" spans="1:3">
      <c r="C9" t="s">
        <v>363</v>
      </c>
    </row>
    <row r="10" spans="1:3">
      <c r="C10" t="s">
        <v>364</v>
      </c>
    </row>
    <row r="11" spans="1:3">
      <c r="B11" t="s">
        <v>4</v>
      </c>
    </row>
    <row r="12" spans="1:3">
      <c r="A12" s="2"/>
      <c r="B12" s="3" t="s">
        <v>5</v>
      </c>
    </row>
    <row r="13" spans="1:3">
      <c r="A13" s="2" t="s">
        <v>6</v>
      </c>
    </row>
    <row r="14" spans="1:3">
      <c r="A14" s="2" t="s">
        <v>7</v>
      </c>
    </row>
    <row r="15" spans="1:3">
      <c r="A15" s="2" t="s">
        <v>8</v>
      </c>
    </row>
  </sheetData>
  <sheetProtection algorithmName="SHA-512" hashValue="Q8admLuTbClBsQ6nmLi9QOp2s120yj04loCFhNoCXlxMGnNdS9LiCxkD1d70dvNwh3W3tMXQnt+eBSp2S5/tHg==" saltValue="Ld1UkDMvNJZ3PV+Ey0Ch/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16A4-7767-4AC7-AFC6-5ECDB880F875}">
  <sheetPr codeName="Sheet2"/>
  <dimension ref="A2:S130"/>
  <sheetViews>
    <sheetView zoomScaleNormal="100" workbookViewId="0">
      <pane xSplit="6" ySplit="3" topLeftCell="G4" activePane="bottomRight" state="frozen"/>
      <selection activeCell="R915" sqref="R915"/>
      <selection pane="topRight" activeCell="R915" sqref="R915"/>
      <selection pane="bottomLeft" activeCell="R915" sqref="R915"/>
      <selection pane="bottomRight" activeCell="A4" sqref="A4:XFD546"/>
    </sheetView>
  </sheetViews>
  <sheetFormatPr defaultColWidth="9" defaultRowHeight="14.5" outlineLevelRow="2"/>
  <cols>
    <col min="1" max="1" width="5.08984375" style="4" customWidth="1"/>
    <col min="2" max="2" width="4.36328125" style="4" customWidth="1"/>
    <col min="3" max="3" width="5.6328125" style="4" customWidth="1"/>
    <col min="4" max="4" width="9" style="4"/>
    <col min="5" max="5" width="5" style="4" customWidth="1"/>
    <col min="6" max="6" width="13.26953125" style="4" customWidth="1"/>
    <col min="7" max="7" width="12.7265625" style="4" customWidth="1"/>
    <col min="8" max="9" width="9" style="4"/>
    <col min="10" max="10" width="13.26953125" customWidth="1"/>
    <col min="11" max="12" width="12.7265625" customWidth="1"/>
    <col min="13" max="14" width="15.36328125" style="4" customWidth="1"/>
    <col min="15" max="15" width="14.7265625" style="4" customWidth="1"/>
    <col min="16" max="16" width="15.6328125" style="4" customWidth="1"/>
    <col min="17" max="17" width="14.7265625" style="4" customWidth="1"/>
    <col min="18" max="18" width="15.26953125" style="4" customWidth="1"/>
    <col min="19" max="19" width="16.453125" style="4" customWidth="1"/>
    <col min="20" max="16384" width="9" style="4"/>
  </cols>
  <sheetData>
    <row r="2" spans="1:19" ht="22.5" customHeight="1">
      <c r="A2" s="65"/>
      <c r="B2" s="65"/>
      <c r="C2" s="65"/>
      <c r="D2" s="65"/>
      <c r="E2" s="65"/>
      <c r="F2" s="65"/>
      <c r="G2" s="86" t="s">
        <v>222</v>
      </c>
      <c r="H2" s="10" t="s">
        <v>223</v>
      </c>
      <c r="I2" s="11" t="s">
        <v>224</v>
      </c>
      <c r="J2" s="11" t="s">
        <v>225</v>
      </c>
      <c r="K2" s="11" t="s">
        <v>226</v>
      </c>
      <c r="L2" s="12" t="s">
        <v>227</v>
      </c>
      <c r="M2" s="12" t="s">
        <v>228</v>
      </c>
      <c r="N2" s="12" t="s">
        <v>229</v>
      </c>
      <c r="O2" s="12" t="s">
        <v>230</v>
      </c>
      <c r="P2" s="12" t="s">
        <v>353</v>
      </c>
      <c r="Q2" s="12" t="s">
        <v>231</v>
      </c>
      <c r="R2" s="12" t="s">
        <v>232</v>
      </c>
      <c r="S2" s="12" t="s">
        <v>352</v>
      </c>
    </row>
    <row r="3" spans="1:19" s="6" customFormat="1" ht="59.25" customHeight="1">
      <c r="A3" s="66" t="s">
        <v>277</v>
      </c>
      <c r="B3" s="66" t="s">
        <v>221</v>
      </c>
      <c r="C3" s="66" t="s">
        <v>9</v>
      </c>
      <c r="D3" s="66" t="s">
        <v>278</v>
      </c>
      <c r="E3" s="66" t="s">
        <v>10</v>
      </c>
      <c r="F3" s="66" t="s">
        <v>11</v>
      </c>
      <c r="G3" s="66" t="s">
        <v>234</v>
      </c>
      <c r="H3" s="88" t="s">
        <v>235</v>
      </c>
      <c r="I3" s="7" t="s">
        <v>236</v>
      </c>
      <c r="J3" s="7" t="s">
        <v>237</v>
      </c>
      <c r="K3" s="7" t="s">
        <v>238</v>
      </c>
      <c r="L3" s="13" t="s">
        <v>239</v>
      </c>
      <c r="M3" s="7" t="s">
        <v>240</v>
      </c>
      <c r="N3" s="7" t="s">
        <v>241</v>
      </c>
      <c r="O3" s="7" t="s">
        <v>242</v>
      </c>
      <c r="P3" s="7" t="s">
        <v>243</v>
      </c>
      <c r="Q3" s="7" t="s">
        <v>244</v>
      </c>
      <c r="R3" s="14" t="s">
        <v>245</v>
      </c>
      <c r="S3" s="7" t="s">
        <v>287</v>
      </c>
    </row>
    <row r="4" spans="1:19" s="64" customFormat="1" ht="14.25" customHeight="1" outlineLevel="2">
      <c r="A4" s="67">
        <v>498</v>
      </c>
      <c r="B4" s="68" t="s">
        <v>26</v>
      </c>
      <c r="C4" s="68" t="s">
        <v>27</v>
      </c>
      <c r="D4" s="68" t="s">
        <v>28</v>
      </c>
      <c r="E4" s="68" t="s">
        <v>29</v>
      </c>
      <c r="F4" s="68" t="s">
        <v>30</v>
      </c>
      <c r="G4" s="69">
        <v>76768</v>
      </c>
      <c r="H4" s="142">
        <v>1246.83</v>
      </c>
      <c r="I4" s="142">
        <v>144.88</v>
      </c>
      <c r="J4" s="132">
        <v>17006.694100000001</v>
      </c>
      <c r="K4" s="132">
        <v>422.09010000000001</v>
      </c>
      <c r="L4" s="132">
        <v>389.9769</v>
      </c>
      <c r="M4" s="142">
        <v>95716645.439999998</v>
      </c>
      <c r="N4" s="142">
        <v>11122147.84</v>
      </c>
      <c r="O4" s="142">
        <v>9598528.9399999995</v>
      </c>
      <c r="P4" s="142">
        <v>142005895.74000001</v>
      </c>
      <c r="Q4" s="142">
        <v>4052064.96</v>
      </c>
      <c r="R4" s="142">
        <v>3509792.1</v>
      </c>
      <c r="S4" s="142">
        <f t="shared" ref="S4:S37" si="0">ROUND(M4+N4+O4+P4+Q4+R4,2)</f>
        <v>266005075.02000001</v>
      </c>
    </row>
    <row r="5" spans="1:19" s="64" customFormat="1" ht="14.25" customHeight="1" outlineLevel="2">
      <c r="A5" s="67">
        <v>499</v>
      </c>
      <c r="B5" s="68" t="s">
        <v>26</v>
      </c>
      <c r="C5" s="68" t="s">
        <v>27</v>
      </c>
      <c r="D5" s="68" t="s">
        <v>28</v>
      </c>
      <c r="E5" s="68" t="s">
        <v>31</v>
      </c>
      <c r="F5" s="68" t="s">
        <v>32</v>
      </c>
      <c r="G5" s="69">
        <v>41820</v>
      </c>
      <c r="H5" s="142">
        <v>1246.83</v>
      </c>
      <c r="I5" s="142">
        <v>144.88</v>
      </c>
      <c r="J5" s="132">
        <v>1910.0536999999999</v>
      </c>
      <c r="K5" s="132">
        <v>44.394199999999998</v>
      </c>
      <c r="L5" s="132">
        <v>0</v>
      </c>
      <c r="M5" s="142">
        <v>52142430.600000001</v>
      </c>
      <c r="N5" s="142">
        <v>6058881.5999999996</v>
      </c>
      <c r="O5" s="142">
        <v>4670217.17</v>
      </c>
      <c r="P5" s="142">
        <v>15948948.4</v>
      </c>
      <c r="Q5" s="142">
        <v>426184.32</v>
      </c>
      <c r="R5" s="142">
        <v>0</v>
      </c>
      <c r="S5" s="142">
        <f t="shared" si="0"/>
        <v>79246662.090000004</v>
      </c>
    </row>
    <row r="6" spans="1:19" s="64" customFormat="1" ht="14.25" customHeight="1" outlineLevel="2">
      <c r="A6" s="67">
        <v>500</v>
      </c>
      <c r="B6" s="68" t="s">
        <v>26</v>
      </c>
      <c r="C6" s="68" t="s">
        <v>27</v>
      </c>
      <c r="D6" s="68" t="s">
        <v>28</v>
      </c>
      <c r="E6" s="68" t="s">
        <v>33</v>
      </c>
      <c r="F6" s="68" t="s">
        <v>34</v>
      </c>
      <c r="G6" s="69">
        <v>48560</v>
      </c>
      <c r="H6" s="142">
        <v>1246.83</v>
      </c>
      <c r="I6" s="142">
        <v>144.88</v>
      </c>
      <c r="J6" s="132">
        <v>2365.1954999999998</v>
      </c>
      <c r="K6" s="132">
        <v>52.448999999999998</v>
      </c>
      <c r="L6" s="132">
        <v>0</v>
      </c>
      <c r="M6" s="142">
        <v>60546064.799999997</v>
      </c>
      <c r="N6" s="142">
        <v>7035372.7999999998</v>
      </c>
      <c r="O6" s="142">
        <v>4478684.32</v>
      </c>
      <c r="P6" s="142">
        <v>19749382.43</v>
      </c>
      <c r="Q6" s="142">
        <v>503510.4</v>
      </c>
      <c r="R6" s="142">
        <v>0</v>
      </c>
      <c r="S6" s="142">
        <f t="shared" si="0"/>
        <v>92313014.75</v>
      </c>
    </row>
    <row r="7" spans="1:19" s="64" customFormat="1" ht="14.25" customHeight="1" outlineLevel="2">
      <c r="A7" s="67">
        <v>501</v>
      </c>
      <c r="B7" s="68" t="s">
        <v>26</v>
      </c>
      <c r="C7" s="68" t="s">
        <v>27</v>
      </c>
      <c r="D7" s="68" t="s">
        <v>28</v>
      </c>
      <c r="E7" s="68" t="s">
        <v>35</v>
      </c>
      <c r="F7" s="68" t="s">
        <v>36</v>
      </c>
      <c r="G7" s="69">
        <v>53836</v>
      </c>
      <c r="H7" s="142">
        <v>1246.83</v>
      </c>
      <c r="I7" s="142">
        <v>144.88</v>
      </c>
      <c r="J7" s="132">
        <v>5188.9453999999996</v>
      </c>
      <c r="K7" s="132">
        <v>76.522400000000005</v>
      </c>
      <c r="L7" s="132">
        <v>3.7869999999999999</v>
      </c>
      <c r="M7" s="142">
        <v>67124339.879999995</v>
      </c>
      <c r="N7" s="142">
        <v>7799759.6799999997</v>
      </c>
      <c r="O7" s="142">
        <v>4589974.66</v>
      </c>
      <c r="P7" s="142">
        <v>43327694.090000004</v>
      </c>
      <c r="Q7" s="142">
        <v>734615.04000000004</v>
      </c>
      <c r="R7" s="142">
        <v>34083</v>
      </c>
      <c r="S7" s="142">
        <f t="shared" si="0"/>
        <v>123610466.34999999</v>
      </c>
    </row>
    <row r="8" spans="1:19" s="64" customFormat="1" ht="14.25" customHeight="1" outlineLevel="2">
      <c r="A8" s="67">
        <v>502</v>
      </c>
      <c r="B8" s="68" t="s">
        <v>26</v>
      </c>
      <c r="C8" s="68" t="s">
        <v>27</v>
      </c>
      <c r="D8" s="68" t="s">
        <v>28</v>
      </c>
      <c r="E8" s="68" t="s">
        <v>37</v>
      </c>
      <c r="F8" s="68" t="s">
        <v>38</v>
      </c>
      <c r="G8" s="69">
        <v>31312</v>
      </c>
      <c r="H8" s="142">
        <v>1246.83</v>
      </c>
      <c r="I8" s="142">
        <v>144.88</v>
      </c>
      <c r="J8" s="132">
        <v>1959.0965000000001</v>
      </c>
      <c r="K8" s="132">
        <v>50.553899999999999</v>
      </c>
      <c r="L8" s="132">
        <v>0</v>
      </c>
      <c r="M8" s="142">
        <v>39040740.960000001</v>
      </c>
      <c r="N8" s="142">
        <v>4536482.5599999996</v>
      </c>
      <c r="O8" s="142">
        <v>3243268.06</v>
      </c>
      <c r="P8" s="142">
        <v>16358455.779999999</v>
      </c>
      <c r="Q8" s="142">
        <v>485317.44</v>
      </c>
      <c r="R8" s="142">
        <v>0</v>
      </c>
      <c r="S8" s="142">
        <f t="shared" si="0"/>
        <v>63664264.799999997</v>
      </c>
    </row>
    <row r="9" spans="1:19" s="64" customFormat="1" ht="14.25" customHeight="1" outlineLevel="2">
      <c r="A9" s="67">
        <v>503</v>
      </c>
      <c r="B9" s="68" t="s">
        <v>26</v>
      </c>
      <c r="C9" s="68" t="s">
        <v>27</v>
      </c>
      <c r="D9" s="68" t="s">
        <v>28</v>
      </c>
      <c r="E9" s="68" t="s">
        <v>39</v>
      </c>
      <c r="F9" s="68" t="s">
        <v>40</v>
      </c>
      <c r="G9" s="69">
        <v>30842</v>
      </c>
      <c r="H9" s="142">
        <v>1246.83</v>
      </c>
      <c r="I9" s="142">
        <v>144.88</v>
      </c>
      <c r="J9" s="132">
        <v>2274.6538999999998</v>
      </c>
      <c r="K9" s="132">
        <v>49.365699999999997</v>
      </c>
      <c r="L9" s="132">
        <v>0</v>
      </c>
      <c r="M9" s="142">
        <v>38454730.859999999</v>
      </c>
      <c r="N9" s="142">
        <v>4468388.96</v>
      </c>
      <c r="O9" s="142">
        <v>3440226.96</v>
      </c>
      <c r="P9" s="142">
        <v>18993360.07</v>
      </c>
      <c r="Q9" s="142">
        <v>473910.72</v>
      </c>
      <c r="R9" s="142">
        <v>0</v>
      </c>
      <c r="S9" s="142">
        <f t="shared" si="0"/>
        <v>65830617.57</v>
      </c>
    </row>
    <row r="10" spans="1:19" s="64" customFormat="1" ht="14.25" customHeight="1" outlineLevel="2">
      <c r="A10" s="67">
        <v>504</v>
      </c>
      <c r="B10" s="68" t="s">
        <v>26</v>
      </c>
      <c r="C10" s="68" t="s">
        <v>27</v>
      </c>
      <c r="D10" s="68" t="s">
        <v>28</v>
      </c>
      <c r="E10" s="68" t="s">
        <v>41</v>
      </c>
      <c r="F10" s="68" t="s">
        <v>42</v>
      </c>
      <c r="G10" s="69">
        <v>31876</v>
      </c>
      <c r="H10" s="142">
        <v>1246.83</v>
      </c>
      <c r="I10" s="142">
        <v>144.88</v>
      </c>
      <c r="J10" s="132">
        <v>1504.6258</v>
      </c>
      <c r="K10" s="132">
        <v>23.980499999999999</v>
      </c>
      <c r="L10" s="132">
        <v>0</v>
      </c>
      <c r="M10" s="142">
        <v>39743953.079999998</v>
      </c>
      <c r="N10" s="142">
        <v>4618194.88</v>
      </c>
      <c r="O10" s="142">
        <v>3441790.71</v>
      </c>
      <c r="P10" s="142">
        <v>12563625.43</v>
      </c>
      <c r="Q10" s="142">
        <v>230212.8</v>
      </c>
      <c r="R10" s="142">
        <v>0</v>
      </c>
      <c r="S10" s="142">
        <f t="shared" si="0"/>
        <v>60597776.899999999</v>
      </c>
    </row>
    <row r="11" spans="1:19" s="64" customFormat="1" ht="14.25" customHeight="1" outlineLevel="2">
      <c r="A11" s="67">
        <v>505</v>
      </c>
      <c r="B11" s="68" t="s">
        <v>26</v>
      </c>
      <c r="C11" s="68" t="s">
        <v>27</v>
      </c>
      <c r="D11" s="68" t="s">
        <v>28</v>
      </c>
      <c r="E11" s="68" t="s">
        <v>43</v>
      </c>
      <c r="F11" s="68" t="s">
        <v>44</v>
      </c>
      <c r="G11" s="69">
        <v>11279</v>
      </c>
      <c r="H11" s="142">
        <v>1246.83</v>
      </c>
      <c r="I11" s="142">
        <v>144.88</v>
      </c>
      <c r="J11" s="132">
        <v>691.48199999999997</v>
      </c>
      <c r="K11" s="132">
        <v>14.2354</v>
      </c>
      <c r="L11" s="132">
        <v>0</v>
      </c>
      <c r="M11" s="142">
        <v>14062995.57</v>
      </c>
      <c r="N11" s="142">
        <v>1634101.52</v>
      </c>
      <c r="O11" s="142">
        <v>1357290.57</v>
      </c>
      <c r="P11" s="142">
        <v>5773874.7000000002</v>
      </c>
      <c r="Q11" s="142">
        <v>136659.84</v>
      </c>
      <c r="R11" s="142">
        <v>0</v>
      </c>
      <c r="S11" s="142">
        <f t="shared" si="0"/>
        <v>22964922.199999999</v>
      </c>
    </row>
    <row r="12" spans="1:19" s="64" customFormat="1" ht="14.25" customHeight="1" outlineLevel="1">
      <c r="A12" s="143"/>
      <c r="B12" s="144"/>
      <c r="C12" s="144"/>
      <c r="D12" s="145" t="s">
        <v>279</v>
      </c>
      <c r="E12" s="144"/>
      <c r="F12" s="144"/>
      <c r="G12" s="146">
        <f>SUBTOTAL(9,G4:G11)</f>
        <v>326293</v>
      </c>
      <c r="H12" s="147"/>
      <c r="I12" s="147"/>
      <c r="J12" s="151">
        <f t="shared" ref="J12:S12" si="1">SUBTOTAL(9,J4:J11)</f>
        <v>32900.746899999998</v>
      </c>
      <c r="K12" s="151">
        <f t="shared" si="1"/>
        <v>733.59119999999996</v>
      </c>
      <c r="L12" s="151">
        <f t="shared" si="1"/>
        <v>393.76389999999998</v>
      </c>
      <c r="M12" s="147">
        <f t="shared" si="1"/>
        <v>406831901.18999994</v>
      </c>
      <c r="N12" s="147">
        <f t="shared" si="1"/>
        <v>47273329.840000004</v>
      </c>
      <c r="O12" s="147">
        <f t="shared" si="1"/>
        <v>34819981.390000001</v>
      </c>
      <c r="P12" s="147">
        <f t="shared" si="1"/>
        <v>274721236.63999999</v>
      </c>
      <c r="Q12" s="147">
        <f t="shared" si="1"/>
        <v>7042475.5200000005</v>
      </c>
      <c r="R12" s="147">
        <f t="shared" si="1"/>
        <v>3543875.1</v>
      </c>
      <c r="S12" s="147">
        <f t="shared" si="1"/>
        <v>774232799.68000007</v>
      </c>
    </row>
    <row r="13" spans="1:19" s="64" customFormat="1" ht="14.25" customHeight="1" outlineLevel="2">
      <c r="A13" s="67">
        <v>506</v>
      </c>
      <c r="B13" s="68" t="s">
        <v>26</v>
      </c>
      <c r="C13" s="68" t="s">
        <v>45</v>
      </c>
      <c r="D13" s="68" t="s">
        <v>46</v>
      </c>
      <c r="E13" s="68" t="s">
        <v>47</v>
      </c>
      <c r="F13" s="68" t="s">
        <v>48</v>
      </c>
      <c r="G13" s="69">
        <v>100640</v>
      </c>
      <c r="H13" s="142">
        <v>1304.53</v>
      </c>
      <c r="I13" s="142">
        <v>146.27000000000001</v>
      </c>
      <c r="J13" s="132">
        <v>22667</v>
      </c>
      <c r="K13" s="132">
        <v>595.24159999999995</v>
      </c>
      <c r="L13" s="132">
        <v>852.57910000000004</v>
      </c>
      <c r="M13" s="142">
        <v>131287899.2</v>
      </c>
      <c r="N13" s="142">
        <v>14720612.800000001</v>
      </c>
      <c r="O13" s="142">
        <v>12953519.210000001</v>
      </c>
      <c r="P13" s="142">
        <v>189269450</v>
      </c>
      <c r="Q13" s="142">
        <v>5714319.3600000003</v>
      </c>
      <c r="R13" s="142">
        <v>7673211.9000000004</v>
      </c>
      <c r="S13" s="142">
        <f t="shared" si="0"/>
        <v>361619012.47000003</v>
      </c>
    </row>
    <row r="14" spans="1:19" s="64" customFormat="1" ht="14.25" customHeight="1" outlineLevel="2">
      <c r="A14" s="67">
        <v>507</v>
      </c>
      <c r="B14" s="68" t="s">
        <v>26</v>
      </c>
      <c r="C14" s="68" t="s">
        <v>45</v>
      </c>
      <c r="D14" s="68" t="s">
        <v>46</v>
      </c>
      <c r="E14" s="68" t="s">
        <v>49</v>
      </c>
      <c r="F14" s="68" t="s">
        <v>50</v>
      </c>
      <c r="G14" s="69">
        <v>69726</v>
      </c>
      <c r="H14" s="142">
        <v>1304.53</v>
      </c>
      <c r="I14" s="142">
        <v>146.27000000000001</v>
      </c>
      <c r="J14" s="132">
        <v>3318.1509999999998</v>
      </c>
      <c r="K14" s="132">
        <v>94.749399999999994</v>
      </c>
      <c r="L14" s="132">
        <v>0</v>
      </c>
      <c r="M14" s="142">
        <v>90959658.780000001</v>
      </c>
      <c r="N14" s="142">
        <v>10198822.02</v>
      </c>
      <c r="O14" s="142">
        <v>9805887.6099999994</v>
      </c>
      <c r="P14" s="142">
        <v>27706560.850000001</v>
      </c>
      <c r="Q14" s="142">
        <v>909594.24</v>
      </c>
      <c r="R14" s="142">
        <v>0</v>
      </c>
      <c r="S14" s="142">
        <f t="shared" si="0"/>
        <v>139580523.5</v>
      </c>
    </row>
    <row r="15" spans="1:19" s="64" customFormat="1" ht="14.25" customHeight="1" outlineLevel="2">
      <c r="A15" s="67">
        <v>508</v>
      </c>
      <c r="B15" s="68" t="s">
        <v>26</v>
      </c>
      <c r="C15" s="68" t="s">
        <v>45</v>
      </c>
      <c r="D15" s="68" t="s">
        <v>46</v>
      </c>
      <c r="E15" s="68" t="s">
        <v>51</v>
      </c>
      <c r="F15" s="68" t="s">
        <v>52</v>
      </c>
      <c r="G15" s="69">
        <v>47182</v>
      </c>
      <c r="H15" s="142">
        <v>1304.53</v>
      </c>
      <c r="I15" s="142">
        <v>146.27000000000001</v>
      </c>
      <c r="J15" s="132">
        <v>1847.4011</v>
      </c>
      <c r="K15" s="132">
        <v>44.162300000000002</v>
      </c>
      <c r="L15" s="132">
        <v>0</v>
      </c>
      <c r="M15" s="142">
        <v>61550334.460000001</v>
      </c>
      <c r="N15" s="142">
        <v>6901311.1399999997</v>
      </c>
      <c r="O15" s="142">
        <v>6200429.0999999996</v>
      </c>
      <c r="P15" s="142">
        <v>15425799.189999999</v>
      </c>
      <c r="Q15" s="142">
        <v>423958.08</v>
      </c>
      <c r="R15" s="142">
        <v>0</v>
      </c>
      <c r="S15" s="142">
        <f t="shared" si="0"/>
        <v>90501831.969999999</v>
      </c>
    </row>
    <row r="16" spans="1:19" s="64" customFormat="1" ht="14.25" customHeight="1" outlineLevel="2">
      <c r="A16" s="67">
        <v>509</v>
      </c>
      <c r="B16" s="68" t="s">
        <v>26</v>
      </c>
      <c r="C16" s="68" t="s">
        <v>45</v>
      </c>
      <c r="D16" s="68" t="s">
        <v>46</v>
      </c>
      <c r="E16" s="68" t="s">
        <v>53</v>
      </c>
      <c r="F16" s="68" t="s">
        <v>54</v>
      </c>
      <c r="G16" s="69">
        <v>82587</v>
      </c>
      <c r="H16" s="142">
        <v>1304.53</v>
      </c>
      <c r="I16" s="142">
        <v>146.27000000000001</v>
      </c>
      <c r="J16" s="132">
        <v>4798.1688999999997</v>
      </c>
      <c r="K16" s="132">
        <v>221.82910000000001</v>
      </c>
      <c r="L16" s="132">
        <v>0</v>
      </c>
      <c r="M16" s="142">
        <v>107737219.11</v>
      </c>
      <c r="N16" s="142">
        <v>12080000.49</v>
      </c>
      <c r="O16" s="142">
        <v>11917438.18</v>
      </c>
      <c r="P16" s="142">
        <v>40064710.32</v>
      </c>
      <c r="Q16" s="142">
        <v>2129559.36</v>
      </c>
      <c r="R16" s="142">
        <v>0</v>
      </c>
      <c r="S16" s="142">
        <f t="shared" si="0"/>
        <v>173928927.46000001</v>
      </c>
    </row>
    <row r="17" spans="1:19" s="64" customFormat="1" ht="14.25" customHeight="1" outlineLevel="2">
      <c r="A17" s="67">
        <v>510</v>
      </c>
      <c r="B17" s="68" t="s">
        <v>26</v>
      </c>
      <c r="C17" s="68" t="s">
        <v>45</v>
      </c>
      <c r="D17" s="68" t="s">
        <v>46</v>
      </c>
      <c r="E17" s="68" t="s">
        <v>55</v>
      </c>
      <c r="F17" s="68" t="s">
        <v>56</v>
      </c>
      <c r="G17" s="69">
        <v>53672</v>
      </c>
      <c r="H17" s="142">
        <v>1304.53</v>
      </c>
      <c r="I17" s="142">
        <v>146.27000000000001</v>
      </c>
      <c r="J17" s="132">
        <v>2332.6136000000001</v>
      </c>
      <c r="K17" s="132">
        <v>53.698</v>
      </c>
      <c r="L17" s="132">
        <v>0</v>
      </c>
      <c r="M17" s="142">
        <v>70016734.159999996</v>
      </c>
      <c r="N17" s="142">
        <v>7850603.4400000004</v>
      </c>
      <c r="O17" s="142">
        <v>6019838.4100000001</v>
      </c>
      <c r="P17" s="142">
        <v>19477323.559999999</v>
      </c>
      <c r="Q17" s="142">
        <v>515500.79999999999</v>
      </c>
      <c r="R17" s="142">
        <v>0</v>
      </c>
      <c r="S17" s="142">
        <f t="shared" si="0"/>
        <v>103880000.37</v>
      </c>
    </row>
    <row r="18" spans="1:19" s="64" customFormat="1" ht="14.25" customHeight="1" outlineLevel="2">
      <c r="A18" s="67">
        <v>511</v>
      </c>
      <c r="B18" s="68" t="s">
        <v>26</v>
      </c>
      <c r="C18" s="68" t="s">
        <v>45</v>
      </c>
      <c r="D18" s="68" t="s">
        <v>46</v>
      </c>
      <c r="E18" s="68" t="s">
        <v>57</v>
      </c>
      <c r="F18" s="68" t="s">
        <v>58</v>
      </c>
      <c r="G18" s="69">
        <v>29031</v>
      </c>
      <c r="H18" s="142">
        <v>1304.53</v>
      </c>
      <c r="I18" s="142">
        <v>146.27000000000001</v>
      </c>
      <c r="J18" s="132">
        <v>1602.3444</v>
      </c>
      <c r="K18" s="132">
        <v>22.819800000000001</v>
      </c>
      <c r="L18" s="132">
        <v>0</v>
      </c>
      <c r="M18" s="142">
        <v>37871810.43</v>
      </c>
      <c r="N18" s="142">
        <v>4246364.37</v>
      </c>
      <c r="O18" s="142">
        <v>3825916.66</v>
      </c>
      <c r="P18" s="142">
        <v>13379575.74</v>
      </c>
      <c r="Q18" s="142">
        <v>219070.07999999999</v>
      </c>
      <c r="R18" s="142">
        <v>0</v>
      </c>
      <c r="S18" s="142">
        <f t="shared" si="0"/>
        <v>59542737.280000001</v>
      </c>
    </row>
    <row r="19" spans="1:19" s="64" customFormat="1" ht="14.25" customHeight="1" outlineLevel="1">
      <c r="A19" s="143"/>
      <c r="B19" s="144"/>
      <c r="C19" s="144"/>
      <c r="D19" s="145" t="s">
        <v>280</v>
      </c>
      <c r="E19" s="144"/>
      <c r="F19" s="144"/>
      <c r="G19" s="146">
        <f>SUBTOTAL(9,G13:G18)</f>
        <v>382838</v>
      </c>
      <c r="H19" s="147"/>
      <c r="I19" s="147"/>
      <c r="J19" s="151">
        <f t="shared" ref="J19:S19" si="2">SUBTOTAL(9,J13:J18)</f>
        <v>36565.678999999996</v>
      </c>
      <c r="K19" s="151">
        <f t="shared" si="2"/>
        <v>1032.5001999999999</v>
      </c>
      <c r="L19" s="151">
        <f t="shared" si="2"/>
        <v>852.57910000000004</v>
      </c>
      <c r="M19" s="147">
        <f t="shared" si="2"/>
        <v>499423656.14000005</v>
      </c>
      <c r="N19" s="147">
        <f t="shared" si="2"/>
        <v>55997714.259999998</v>
      </c>
      <c r="O19" s="147">
        <f t="shared" si="2"/>
        <v>50723029.170000002</v>
      </c>
      <c r="P19" s="147">
        <f t="shared" si="2"/>
        <v>305323419.66000003</v>
      </c>
      <c r="Q19" s="147">
        <f t="shared" si="2"/>
        <v>9912001.9200000018</v>
      </c>
      <c r="R19" s="147">
        <f t="shared" si="2"/>
        <v>7673211.9000000004</v>
      </c>
      <c r="S19" s="147">
        <f t="shared" si="2"/>
        <v>929053033.05000007</v>
      </c>
    </row>
    <row r="20" spans="1:19" s="64" customFormat="1" ht="14.25" customHeight="1" outlineLevel="2">
      <c r="A20" s="67">
        <v>512</v>
      </c>
      <c r="B20" s="68" t="s">
        <v>26</v>
      </c>
      <c r="C20" s="68" t="s">
        <v>59</v>
      </c>
      <c r="D20" s="68" t="s">
        <v>60</v>
      </c>
      <c r="E20" s="68" t="s">
        <v>61</v>
      </c>
      <c r="F20" s="68" t="s">
        <v>62</v>
      </c>
      <c r="G20" s="69">
        <v>259511</v>
      </c>
      <c r="H20" s="142">
        <v>1286.99</v>
      </c>
      <c r="I20" s="142">
        <v>146.35</v>
      </c>
      <c r="J20" s="132">
        <v>118240.8075</v>
      </c>
      <c r="K20" s="132">
        <v>2770.3712999999998</v>
      </c>
      <c r="L20" s="132">
        <v>3014.2811000000002</v>
      </c>
      <c r="M20" s="142">
        <v>333988061.88999999</v>
      </c>
      <c r="N20" s="142">
        <v>37979434.850000001</v>
      </c>
      <c r="O20" s="142">
        <v>27024323.969999999</v>
      </c>
      <c r="P20" s="142">
        <v>987310742.63</v>
      </c>
      <c r="Q20" s="142">
        <v>26595564.48</v>
      </c>
      <c r="R20" s="142">
        <v>27128529.899999999</v>
      </c>
      <c r="S20" s="142">
        <f t="shared" si="0"/>
        <v>1440026657.72</v>
      </c>
    </row>
    <row r="21" spans="1:19" s="64" customFormat="1" ht="14.25" customHeight="1" outlineLevel="2">
      <c r="A21" s="67">
        <v>513</v>
      </c>
      <c r="B21" s="68" t="s">
        <v>26</v>
      </c>
      <c r="C21" s="68" t="s">
        <v>59</v>
      </c>
      <c r="D21" s="68" t="s">
        <v>60</v>
      </c>
      <c r="E21" s="68" t="s">
        <v>63</v>
      </c>
      <c r="F21" s="68" t="s">
        <v>64</v>
      </c>
      <c r="G21" s="69">
        <v>51752</v>
      </c>
      <c r="H21" s="142">
        <v>1286.99</v>
      </c>
      <c r="I21" s="142">
        <v>146.35</v>
      </c>
      <c r="J21" s="132">
        <v>2591.1801999999998</v>
      </c>
      <c r="K21" s="132">
        <v>36.265500000000003</v>
      </c>
      <c r="L21" s="132">
        <v>0</v>
      </c>
      <c r="M21" s="142">
        <v>66604306.479999997</v>
      </c>
      <c r="N21" s="142">
        <v>7573905.2000000002</v>
      </c>
      <c r="O21" s="142">
        <v>6188070.5599999996</v>
      </c>
      <c r="P21" s="142">
        <v>21636354.670000002</v>
      </c>
      <c r="Q21" s="142">
        <v>348148.8</v>
      </c>
      <c r="R21" s="142">
        <v>0</v>
      </c>
      <c r="S21" s="142">
        <f t="shared" si="0"/>
        <v>102350785.70999999</v>
      </c>
    </row>
    <row r="22" spans="1:19" s="64" customFormat="1" ht="14.25" customHeight="1" outlineLevel="2">
      <c r="A22" s="67">
        <v>514</v>
      </c>
      <c r="B22" s="68" t="s">
        <v>26</v>
      </c>
      <c r="C22" s="68" t="s">
        <v>59</v>
      </c>
      <c r="D22" s="68" t="s">
        <v>60</v>
      </c>
      <c r="E22" s="68" t="s">
        <v>65</v>
      </c>
      <c r="F22" s="68" t="s">
        <v>66</v>
      </c>
      <c r="G22" s="69">
        <v>49952</v>
      </c>
      <c r="H22" s="142">
        <v>1286.99</v>
      </c>
      <c r="I22" s="142">
        <v>146.35</v>
      </c>
      <c r="J22" s="132">
        <v>2295.5652</v>
      </c>
      <c r="K22" s="132">
        <v>47.308300000000003</v>
      </c>
      <c r="L22" s="132">
        <v>0</v>
      </c>
      <c r="M22" s="142">
        <v>64287724.479999997</v>
      </c>
      <c r="N22" s="142">
        <v>7310475.2000000002</v>
      </c>
      <c r="O22" s="142">
        <v>4810234.2699999996</v>
      </c>
      <c r="P22" s="142">
        <v>19167969.420000002</v>
      </c>
      <c r="Q22" s="142">
        <v>454159.68</v>
      </c>
      <c r="R22" s="142">
        <v>0</v>
      </c>
      <c r="S22" s="142">
        <f t="shared" si="0"/>
        <v>96030563.049999997</v>
      </c>
    </row>
    <row r="23" spans="1:19" s="64" customFormat="1" ht="14.25" customHeight="1" outlineLevel="2">
      <c r="A23" s="67">
        <v>515</v>
      </c>
      <c r="B23" s="68" t="s">
        <v>26</v>
      </c>
      <c r="C23" s="68" t="s">
        <v>59</v>
      </c>
      <c r="D23" s="68" t="s">
        <v>60</v>
      </c>
      <c r="E23" s="68" t="s">
        <v>67</v>
      </c>
      <c r="F23" s="68" t="s">
        <v>68</v>
      </c>
      <c r="G23" s="69">
        <v>84526</v>
      </c>
      <c r="H23" s="142">
        <v>1286.99</v>
      </c>
      <c r="I23" s="142">
        <v>146.35</v>
      </c>
      <c r="J23" s="132">
        <v>13595.438</v>
      </c>
      <c r="K23" s="132">
        <v>381.3956</v>
      </c>
      <c r="L23" s="132">
        <v>18.091799999999999</v>
      </c>
      <c r="M23" s="142">
        <v>108784116.73999999</v>
      </c>
      <c r="N23" s="142">
        <v>12370380.1</v>
      </c>
      <c r="O23" s="142">
        <v>8901360.1699999999</v>
      </c>
      <c r="P23" s="142">
        <v>113521907.3</v>
      </c>
      <c r="Q23" s="142">
        <v>3661397.76</v>
      </c>
      <c r="R23" s="142">
        <v>162826.20000000001</v>
      </c>
      <c r="S23" s="142">
        <f t="shared" si="0"/>
        <v>247401988.27000001</v>
      </c>
    </row>
    <row r="24" spans="1:19" s="64" customFormat="1" ht="14.25" customHeight="1" outlineLevel="2">
      <c r="A24" s="67">
        <v>516</v>
      </c>
      <c r="B24" s="68" t="s">
        <v>26</v>
      </c>
      <c r="C24" s="68" t="s">
        <v>59</v>
      </c>
      <c r="D24" s="68" t="s">
        <v>60</v>
      </c>
      <c r="E24" s="68" t="s">
        <v>69</v>
      </c>
      <c r="F24" s="68" t="s">
        <v>70</v>
      </c>
      <c r="G24" s="69">
        <v>4061</v>
      </c>
      <c r="H24" s="142">
        <v>1286.99</v>
      </c>
      <c r="I24" s="142">
        <v>146.35</v>
      </c>
      <c r="J24" s="132">
        <v>0</v>
      </c>
      <c r="K24" s="132">
        <v>0</v>
      </c>
      <c r="L24" s="132">
        <v>0</v>
      </c>
      <c r="M24" s="142">
        <v>5226466.3899999997</v>
      </c>
      <c r="N24" s="142">
        <v>594327.35</v>
      </c>
      <c r="O24" s="142">
        <v>428557.75</v>
      </c>
      <c r="P24" s="142">
        <v>0</v>
      </c>
      <c r="Q24" s="142">
        <v>0</v>
      </c>
      <c r="R24" s="142">
        <v>0</v>
      </c>
      <c r="S24" s="142">
        <f t="shared" si="0"/>
        <v>6249351.4900000002</v>
      </c>
    </row>
    <row r="25" spans="1:19" s="64" customFormat="1" ht="14.25" customHeight="1" outlineLevel="2">
      <c r="A25" s="67">
        <v>517</v>
      </c>
      <c r="B25" s="68" t="s">
        <v>26</v>
      </c>
      <c r="C25" s="68" t="s">
        <v>59</v>
      </c>
      <c r="D25" s="68" t="s">
        <v>60</v>
      </c>
      <c r="E25" s="68" t="s">
        <v>71</v>
      </c>
      <c r="F25" s="68" t="s">
        <v>72</v>
      </c>
      <c r="G25" s="69">
        <v>37153</v>
      </c>
      <c r="H25" s="142">
        <v>1286.99</v>
      </c>
      <c r="I25" s="142">
        <v>146.35</v>
      </c>
      <c r="J25" s="132">
        <v>2169.4890999999998</v>
      </c>
      <c r="K25" s="132">
        <v>34.862499999999997</v>
      </c>
      <c r="L25" s="132">
        <v>6.1119000000000003</v>
      </c>
      <c r="M25" s="142">
        <v>47815539.469999999</v>
      </c>
      <c r="N25" s="142">
        <v>5437341.5499999998</v>
      </c>
      <c r="O25" s="142">
        <v>4407423.1399999997</v>
      </c>
      <c r="P25" s="142">
        <v>18115233.989999998</v>
      </c>
      <c r="Q25" s="142">
        <v>334680</v>
      </c>
      <c r="R25" s="142">
        <v>55007.1</v>
      </c>
      <c r="S25" s="142">
        <f t="shared" si="0"/>
        <v>76165225.25</v>
      </c>
    </row>
    <row r="26" spans="1:19" s="64" customFormat="1" ht="14.25" customHeight="1" outlineLevel="2">
      <c r="A26" s="67">
        <v>518</v>
      </c>
      <c r="B26" s="68" t="s">
        <v>26</v>
      </c>
      <c r="C26" s="68" t="s">
        <v>59</v>
      </c>
      <c r="D26" s="68" t="s">
        <v>60</v>
      </c>
      <c r="E26" s="68" t="s">
        <v>73</v>
      </c>
      <c r="F26" s="68" t="s">
        <v>74</v>
      </c>
      <c r="G26" s="69">
        <v>91710</v>
      </c>
      <c r="H26" s="142">
        <v>1286.99</v>
      </c>
      <c r="I26" s="142">
        <v>146.35</v>
      </c>
      <c r="J26" s="132">
        <v>6241.1603999999998</v>
      </c>
      <c r="K26" s="132">
        <v>88.013599999999997</v>
      </c>
      <c r="L26" s="132">
        <v>8.5539000000000005</v>
      </c>
      <c r="M26" s="142">
        <v>118029852.90000001</v>
      </c>
      <c r="N26" s="142">
        <v>13421758.5</v>
      </c>
      <c r="O26" s="142">
        <v>10026308.91</v>
      </c>
      <c r="P26" s="142">
        <v>52113689.340000004</v>
      </c>
      <c r="Q26" s="142">
        <v>844930.56000000006</v>
      </c>
      <c r="R26" s="142">
        <v>76985.100000000006</v>
      </c>
      <c r="S26" s="142">
        <f t="shared" si="0"/>
        <v>194513525.31</v>
      </c>
    </row>
    <row r="27" spans="1:19" s="64" customFormat="1" ht="14.25" customHeight="1" outlineLevel="2">
      <c r="A27" s="67">
        <v>519</v>
      </c>
      <c r="B27" s="68" t="s">
        <v>26</v>
      </c>
      <c r="C27" s="68" t="s">
        <v>59</v>
      </c>
      <c r="D27" s="68" t="s">
        <v>60</v>
      </c>
      <c r="E27" s="68" t="s">
        <v>75</v>
      </c>
      <c r="F27" s="68" t="s">
        <v>76</v>
      </c>
      <c r="G27" s="69">
        <v>25272</v>
      </c>
      <c r="H27" s="142">
        <v>1286.99</v>
      </c>
      <c r="I27" s="142">
        <v>146.35</v>
      </c>
      <c r="J27" s="132">
        <v>1172.5636</v>
      </c>
      <c r="K27" s="132">
        <v>12.6966</v>
      </c>
      <c r="L27" s="132">
        <v>0</v>
      </c>
      <c r="M27" s="142">
        <v>32524811.280000001</v>
      </c>
      <c r="N27" s="142">
        <v>3698557.2</v>
      </c>
      <c r="O27" s="142">
        <v>2619411.36</v>
      </c>
      <c r="P27" s="142">
        <v>9790906.0600000005</v>
      </c>
      <c r="Q27" s="142">
        <v>121887.36</v>
      </c>
      <c r="R27" s="142">
        <v>0</v>
      </c>
      <c r="S27" s="142">
        <f t="shared" si="0"/>
        <v>48755573.259999998</v>
      </c>
    </row>
    <row r="28" spans="1:19" s="64" customFormat="1" ht="14.25" customHeight="1" outlineLevel="2">
      <c r="A28" s="67">
        <v>520</v>
      </c>
      <c r="B28" s="68" t="s">
        <v>26</v>
      </c>
      <c r="C28" s="68" t="s">
        <v>59</v>
      </c>
      <c r="D28" s="68" t="s">
        <v>60</v>
      </c>
      <c r="E28" s="68" t="s">
        <v>77</v>
      </c>
      <c r="F28" s="68" t="s">
        <v>78</v>
      </c>
      <c r="G28" s="69">
        <v>29850</v>
      </c>
      <c r="H28" s="142">
        <v>1286.99</v>
      </c>
      <c r="I28" s="142">
        <v>146.35</v>
      </c>
      <c r="J28" s="132">
        <v>1118.5631000000001</v>
      </c>
      <c r="K28" s="132">
        <v>20.002199999999998</v>
      </c>
      <c r="L28" s="132">
        <v>0</v>
      </c>
      <c r="M28" s="142">
        <v>38416651.5</v>
      </c>
      <c r="N28" s="142">
        <v>4368547.5</v>
      </c>
      <c r="O28" s="142">
        <v>3351056.33</v>
      </c>
      <c r="P28" s="142">
        <v>9340001.8900000006</v>
      </c>
      <c r="Q28" s="142">
        <v>192021.12</v>
      </c>
      <c r="R28" s="142">
        <v>0</v>
      </c>
      <c r="S28" s="142">
        <f t="shared" si="0"/>
        <v>55668278.340000004</v>
      </c>
    </row>
    <row r="29" spans="1:19" s="64" customFormat="1" ht="14.25" customHeight="1" outlineLevel="2">
      <c r="A29" s="67">
        <v>521</v>
      </c>
      <c r="B29" s="68" t="s">
        <v>26</v>
      </c>
      <c r="C29" s="68" t="s">
        <v>59</v>
      </c>
      <c r="D29" s="68" t="s">
        <v>60</v>
      </c>
      <c r="E29" s="68" t="s">
        <v>79</v>
      </c>
      <c r="F29" s="68" t="s">
        <v>80</v>
      </c>
      <c r="G29" s="69">
        <v>36573</v>
      </c>
      <c r="H29" s="142">
        <v>1286.99</v>
      </c>
      <c r="I29" s="142">
        <v>146.35</v>
      </c>
      <c r="J29" s="132">
        <v>1688.8957</v>
      </c>
      <c r="K29" s="132">
        <v>27.6968</v>
      </c>
      <c r="L29" s="132">
        <v>0</v>
      </c>
      <c r="M29" s="142">
        <v>47069085.270000003</v>
      </c>
      <c r="N29" s="142">
        <v>5352458.55</v>
      </c>
      <c r="O29" s="142">
        <v>4770065.93</v>
      </c>
      <c r="P29" s="142">
        <v>14102279.1</v>
      </c>
      <c r="Q29" s="142">
        <v>265889.28000000003</v>
      </c>
      <c r="R29" s="142">
        <v>0</v>
      </c>
      <c r="S29" s="142">
        <f t="shared" si="0"/>
        <v>71559778.129999995</v>
      </c>
    </row>
    <row r="30" spans="1:19" s="64" customFormat="1" ht="14.25" customHeight="1" outlineLevel="2">
      <c r="A30" s="67">
        <v>522</v>
      </c>
      <c r="B30" s="68" t="s">
        <v>26</v>
      </c>
      <c r="C30" s="68" t="s">
        <v>59</v>
      </c>
      <c r="D30" s="68" t="s">
        <v>60</v>
      </c>
      <c r="E30" s="68" t="s">
        <v>81</v>
      </c>
      <c r="F30" s="68" t="s">
        <v>82</v>
      </c>
      <c r="G30" s="69">
        <v>43596</v>
      </c>
      <c r="H30" s="142">
        <v>1286.99</v>
      </c>
      <c r="I30" s="142">
        <v>146.35</v>
      </c>
      <c r="J30" s="132">
        <v>2450.2330999999999</v>
      </c>
      <c r="K30" s="132">
        <v>56.857900000000001</v>
      </c>
      <c r="L30" s="132">
        <v>0</v>
      </c>
      <c r="M30" s="142">
        <v>56107616.039999999</v>
      </c>
      <c r="N30" s="142">
        <v>6380274.5999999996</v>
      </c>
      <c r="O30" s="142">
        <v>4923587.7699999996</v>
      </c>
      <c r="P30" s="142">
        <v>20459446.390000001</v>
      </c>
      <c r="Q30" s="142">
        <v>545835.84</v>
      </c>
      <c r="R30" s="142">
        <v>0</v>
      </c>
      <c r="S30" s="142">
        <f t="shared" si="0"/>
        <v>88416760.640000001</v>
      </c>
    </row>
    <row r="31" spans="1:19" s="64" customFormat="1" ht="14.25" customHeight="1" outlineLevel="2">
      <c r="A31" s="67">
        <v>523</v>
      </c>
      <c r="B31" s="68" t="s">
        <v>26</v>
      </c>
      <c r="C31" s="68" t="s">
        <v>59</v>
      </c>
      <c r="D31" s="68" t="s">
        <v>60</v>
      </c>
      <c r="E31" s="68" t="s">
        <v>83</v>
      </c>
      <c r="F31" s="68" t="s">
        <v>84</v>
      </c>
      <c r="G31" s="69">
        <v>87077</v>
      </c>
      <c r="H31" s="142">
        <v>1286.99</v>
      </c>
      <c r="I31" s="142">
        <v>146.35</v>
      </c>
      <c r="J31" s="132">
        <v>6250.7851000000001</v>
      </c>
      <c r="K31" s="132">
        <v>106.669</v>
      </c>
      <c r="L31" s="132">
        <v>0</v>
      </c>
      <c r="M31" s="142">
        <v>112067228.23</v>
      </c>
      <c r="N31" s="142">
        <v>12743718.949999999</v>
      </c>
      <c r="O31" s="142">
        <v>10485351.609999999</v>
      </c>
      <c r="P31" s="142">
        <v>52194055.590000004</v>
      </c>
      <c r="Q31" s="142">
        <v>1024022.4</v>
      </c>
      <c r="R31" s="142">
        <v>0</v>
      </c>
      <c r="S31" s="142">
        <f t="shared" si="0"/>
        <v>188514376.78</v>
      </c>
    </row>
    <row r="32" spans="1:19" s="64" customFormat="1" ht="14.25" customHeight="1" outlineLevel="2">
      <c r="A32" s="67">
        <v>524</v>
      </c>
      <c r="B32" s="68" t="s">
        <v>26</v>
      </c>
      <c r="C32" s="68" t="s">
        <v>59</v>
      </c>
      <c r="D32" s="68" t="s">
        <v>60</v>
      </c>
      <c r="E32" s="68" t="s">
        <v>85</v>
      </c>
      <c r="F32" s="68" t="s">
        <v>86</v>
      </c>
      <c r="G32" s="69">
        <v>46833</v>
      </c>
      <c r="H32" s="142">
        <v>1286.99</v>
      </c>
      <c r="I32" s="142">
        <v>146.35</v>
      </c>
      <c r="J32" s="132">
        <v>2908.6091000000001</v>
      </c>
      <c r="K32" s="132">
        <v>61.230200000000004</v>
      </c>
      <c r="L32" s="132">
        <v>0</v>
      </c>
      <c r="M32" s="142">
        <v>60273602.670000002</v>
      </c>
      <c r="N32" s="142">
        <v>6854009.5499999998</v>
      </c>
      <c r="O32" s="142">
        <v>5740651.5999999996</v>
      </c>
      <c r="P32" s="142">
        <v>24286885.989999998</v>
      </c>
      <c r="Q32" s="142">
        <v>587809.92000000004</v>
      </c>
      <c r="R32" s="142">
        <v>0</v>
      </c>
      <c r="S32" s="142">
        <f t="shared" si="0"/>
        <v>97742959.730000004</v>
      </c>
    </row>
    <row r="33" spans="1:19" s="64" customFormat="1" ht="14.25" customHeight="1" outlineLevel="2">
      <c r="A33" s="67">
        <v>525</v>
      </c>
      <c r="B33" s="68" t="s">
        <v>26</v>
      </c>
      <c r="C33" s="68" t="s">
        <v>59</v>
      </c>
      <c r="D33" s="68" t="s">
        <v>60</v>
      </c>
      <c r="E33" s="68" t="s">
        <v>87</v>
      </c>
      <c r="F33" s="68" t="s">
        <v>88</v>
      </c>
      <c r="G33" s="69">
        <v>88644</v>
      </c>
      <c r="H33" s="142">
        <v>1286.99</v>
      </c>
      <c r="I33" s="142">
        <v>146.35</v>
      </c>
      <c r="J33" s="132">
        <v>5100.3122999999996</v>
      </c>
      <c r="K33" s="132">
        <v>77.556100000000001</v>
      </c>
      <c r="L33" s="132">
        <v>0</v>
      </c>
      <c r="M33" s="142">
        <v>114083941.56</v>
      </c>
      <c r="N33" s="142">
        <v>12973049.4</v>
      </c>
      <c r="O33" s="142">
        <v>10619840.310000001</v>
      </c>
      <c r="P33" s="142">
        <v>42587607.710000001</v>
      </c>
      <c r="Q33" s="142">
        <v>744538.56</v>
      </c>
      <c r="R33" s="142">
        <v>0</v>
      </c>
      <c r="S33" s="142">
        <f t="shared" si="0"/>
        <v>181008977.53999999</v>
      </c>
    </row>
    <row r="34" spans="1:19" s="64" customFormat="1" ht="14.25" customHeight="1" outlineLevel="2">
      <c r="A34" s="67">
        <v>526</v>
      </c>
      <c r="B34" s="68" t="s">
        <v>26</v>
      </c>
      <c r="C34" s="68" t="s">
        <v>59</v>
      </c>
      <c r="D34" s="68" t="s">
        <v>60</v>
      </c>
      <c r="E34" s="68" t="s">
        <v>89</v>
      </c>
      <c r="F34" s="68" t="s">
        <v>90</v>
      </c>
      <c r="G34" s="69">
        <v>22384</v>
      </c>
      <c r="H34" s="142">
        <v>1286.99</v>
      </c>
      <c r="I34" s="142">
        <v>146.35</v>
      </c>
      <c r="J34" s="132">
        <v>1282.1799000000001</v>
      </c>
      <c r="K34" s="132">
        <v>8.1761999999999997</v>
      </c>
      <c r="L34" s="132">
        <v>0</v>
      </c>
      <c r="M34" s="142">
        <v>28807984.16</v>
      </c>
      <c r="N34" s="142">
        <v>3275898.4</v>
      </c>
      <c r="O34" s="142">
        <v>2193119.41</v>
      </c>
      <c r="P34" s="142">
        <v>10706202.17</v>
      </c>
      <c r="Q34" s="142">
        <v>78491.520000000004</v>
      </c>
      <c r="R34" s="142">
        <v>0</v>
      </c>
      <c r="S34" s="142">
        <f t="shared" si="0"/>
        <v>45061695.659999996</v>
      </c>
    </row>
    <row r="35" spans="1:19" s="64" customFormat="1" ht="14.25" customHeight="1" outlineLevel="2">
      <c r="A35" s="67">
        <v>527</v>
      </c>
      <c r="B35" s="68" t="s">
        <v>26</v>
      </c>
      <c r="C35" s="68" t="s">
        <v>59</v>
      </c>
      <c r="D35" s="68" t="s">
        <v>60</v>
      </c>
      <c r="E35" s="68" t="s">
        <v>91</v>
      </c>
      <c r="F35" s="68" t="s">
        <v>92</v>
      </c>
      <c r="G35" s="69">
        <v>21097</v>
      </c>
      <c r="H35" s="142">
        <v>1286.99</v>
      </c>
      <c r="I35" s="142">
        <v>146.35</v>
      </c>
      <c r="J35" s="132">
        <v>1011.5075000000001</v>
      </c>
      <c r="K35" s="132">
        <v>17.324999999999999</v>
      </c>
      <c r="L35" s="132">
        <v>0</v>
      </c>
      <c r="M35" s="142">
        <v>27151628.030000001</v>
      </c>
      <c r="N35" s="142">
        <v>3087545.95</v>
      </c>
      <c r="O35" s="142">
        <v>2469205.33</v>
      </c>
      <c r="P35" s="142">
        <v>8446087.6300000008</v>
      </c>
      <c r="Q35" s="142">
        <v>166320</v>
      </c>
      <c r="R35" s="142">
        <v>0</v>
      </c>
      <c r="S35" s="142">
        <f t="shared" si="0"/>
        <v>41320786.939999998</v>
      </c>
    </row>
    <row r="36" spans="1:19" s="64" customFormat="1" ht="14.25" customHeight="1" outlineLevel="2">
      <c r="A36" s="67">
        <v>528</v>
      </c>
      <c r="B36" s="68" t="s">
        <v>26</v>
      </c>
      <c r="C36" s="68" t="s">
        <v>59</v>
      </c>
      <c r="D36" s="68" t="s">
        <v>60</v>
      </c>
      <c r="E36" s="68" t="s">
        <v>93</v>
      </c>
      <c r="F36" s="68" t="s">
        <v>94</v>
      </c>
      <c r="G36" s="69">
        <v>23846</v>
      </c>
      <c r="H36" s="142">
        <v>1286.99</v>
      </c>
      <c r="I36" s="142">
        <v>146.35</v>
      </c>
      <c r="J36" s="132">
        <v>1333.4483</v>
      </c>
      <c r="K36" s="132">
        <v>18.182600000000001</v>
      </c>
      <c r="L36" s="132">
        <v>0</v>
      </c>
      <c r="M36" s="142">
        <v>30689563.539999999</v>
      </c>
      <c r="N36" s="142">
        <v>3489862.1</v>
      </c>
      <c r="O36" s="142">
        <v>2985054.75</v>
      </c>
      <c r="P36" s="142">
        <v>11134293.310000001</v>
      </c>
      <c r="Q36" s="142">
        <v>174552.95999999999</v>
      </c>
      <c r="R36" s="142">
        <v>0</v>
      </c>
      <c r="S36" s="142">
        <f t="shared" si="0"/>
        <v>48473326.659999996</v>
      </c>
    </row>
    <row r="37" spans="1:19" s="64" customFormat="1" ht="14.25" customHeight="1" outlineLevel="2">
      <c r="A37" s="67">
        <v>529</v>
      </c>
      <c r="B37" s="68" t="s">
        <v>26</v>
      </c>
      <c r="C37" s="68" t="s">
        <v>59</v>
      </c>
      <c r="D37" s="68" t="s">
        <v>60</v>
      </c>
      <c r="E37" s="68" t="s">
        <v>95</v>
      </c>
      <c r="F37" s="68" t="s">
        <v>96</v>
      </c>
      <c r="G37" s="69">
        <v>19462</v>
      </c>
      <c r="H37" s="142">
        <v>1286.99</v>
      </c>
      <c r="I37" s="142">
        <v>146.35</v>
      </c>
      <c r="J37" s="132">
        <v>1482.5989</v>
      </c>
      <c r="K37" s="132">
        <v>23.538900000000002</v>
      </c>
      <c r="L37" s="132">
        <v>0</v>
      </c>
      <c r="M37" s="142">
        <v>25047399.379999999</v>
      </c>
      <c r="N37" s="142">
        <v>2848263.7</v>
      </c>
      <c r="O37" s="142">
        <v>1852813.28</v>
      </c>
      <c r="P37" s="142">
        <v>12379700.82</v>
      </c>
      <c r="Q37" s="142">
        <v>225973.44</v>
      </c>
      <c r="R37" s="142">
        <v>0</v>
      </c>
      <c r="S37" s="142">
        <f t="shared" si="0"/>
        <v>42354150.619999997</v>
      </c>
    </row>
    <row r="38" spans="1:19" s="64" customFormat="1" ht="14.25" customHeight="1" outlineLevel="2">
      <c r="A38" s="67">
        <v>530</v>
      </c>
      <c r="B38" s="68" t="s">
        <v>26</v>
      </c>
      <c r="C38" s="68" t="s">
        <v>59</v>
      </c>
      <c r="D38" s="68" t="s">
        <v>60</v>
      </c>
      <c r="E38" s="68" t="s">
        <v>97</v>
      </c>
      <c r="F38" s="68" t="s">
        <v>98</v>
      </c>
      <c r="G38" s="69">
        <v>98564</v>
      </c>
      <c r="H38" s="142">
        <v>1286.99</v>
      </c>
      <c r="I38" s="142">
        <v>146.35</v>
      </c>
      <c r="J38" s="132">
        <v>6844.8869000000004</v>
      </c>
      <c r="K38" s="132">
        <v>155.17359999999999</v>
      </c>
      <c r="L38" s="132">
        <v>42.033099999999997</v>
      </c>
      <c r="M38" s="142">
        <v>126850882.36</v>
      </c>
      <c r="N38" s="142">
        <v>14424841.4</v>
      </c>
      <c r="O38" s="142">
        <v>12284639.18</v>
      </c>
      <c r="P38" s="142">
        <v>57154805.619999997</v>
      </c>
      <c r="Q38" s="142">
        <v>1489666.56</v>
      </c>
      <c r="R38" s="142">
        <v>378297.9</v>
      </c>
      <c r="S38" s="142">
        <f t="shared" ref="S38:S97" si="3">ROUND(M38+N38+O38+P38+Q38+R38,2)</f>
        <v>212583133.02000001</v>
      </c>
    </row>
    <row r="39" spans="1:19" s="64" customFormat="1" ht="14.25" customHeight="1" outlineLevel="2">
      <c r="A39" s="67">
        <v>531</v>
      </c>
      <c r="B39" s="68" t="s">
        <v>26</v>
      </c>
      <c r="C39" s="68" t="s">
        <v>59</v>
      </c>
      <c r="D39" s="68" t="s">
        <v>60</v>
      </c>
      <c r="E39" s="68" t="s">
        <v>99</v>
      </c>
      <c r="F39" s="68" t="s">
        <v>100</v>
      </c>
      <c r="G39" s="69">
        <v>18224</v>
      </c>
      <c r="H39" s="142">
        <v>1286.99</v>
      </c>
      <c r="I39" s="142">
        <v>146.35</v>
      </c>
      <c r="J39" s="132">
        <v>940.37959999999998</v>
      </c>
      <c r="K39" s="132">
        <v>8.8940999999999999</v>
      </c>
      <c r="L39" s="132">
        <v>0</v>
      </c>
      <c r="M39" s="142">
        <v>23454105.760000002</v>
      </c>
      <c r="N39" s="142">
        <v>2667082.4</v>
      </c>
      <c r="O39" s="142">
        <v>1666859.99</v>
      </c>
      <c r="P39" s="142">
        <v>7852169.6600000001</v>
      </c>
      <c r="Q39" s="142">
        <v>85383.360000000001</v>
      </c>
      <c r="R39" s="142">
        <v>0</v>
      </c>
      <c r="S39" s="142">
        <f t="shared" si="3"/>
        <v>35725601.170000002</v>
      </c>
    </row>
    <row r="40" spans="1:19" s="64" customFormat="1" ht="14.25" customHeight="1" outlineLevel="2">
      <c r="A40" s="67">
        <v>532</v>
      </c>
      <c r="B40" s="68" t="s">
        <v>26</v>
      </c>
      <c r="C40" s="68" t="s">
        <v>59</v>
      </c>
      <c r="D40" s="68" t="s">
        <v>60</v>
      </c>
      <c r="E40" s="68" t="s">
        <v>101</v>
      </c>
      <c r="F40" s="68" t="s">
        <v>102</v>
      </c>
      <c r="G40" s="69">
        <v>19204</v>
      </c>
      <c r="H40" s="142">
        <v>1286.99</v>
      </c>
      <c r="I40" s="142">
        <v>146.35</v>
      </c>
      <c r="J40" s="132">
        <v>727.15110000000004</v>
      </c>
      <c r="K40" s="132">
        <v>17.854199999999999</v>
      </c>
      <c r="L40" s="132">
        <v>0</v>
      </c>
      <c r="M40" s="142">
        <v>24715355.960000001</v>
      </c>
      <c r="N40" s="142">
        <v>2810505.4</v>
      </c>
      <c r="O40" s="142">
        <v>2367350.71</v>
      </c>
      <c r="P40" s="142">
        <v>6071711.6900000004</v>
      </c>
      <c r="Q40" s="142">
        <v>171400.32000000001</v>
      </c>
      <c r="R40" s="142">
        <v>0</v>
      </c>
      <c r="S40" s="142">
        <f t="shared" si="3"/>
        <v>36136324.079999998</v>
      </c>
    </row>
    <row r="41" spans="1:19" s="64" customFormat="1" ht="14.25" customHeight="1" outlineLevel="1">
      <c r="A41" s="143"/>
      <c r="B41" s="144"/>
      <c r="C41" s="144"/>
      <c r="D41" s="145" t="s">
        <v>281</v>
      </c>
      <c r="E41" s="144"/>
      <c r="F41" s="144"/>
      <c r="G41" s="146">
        <f>SUBTOTAL(9,G20:G40)</f>
        <v>1159291</v>
      </c>
      <c r="H41" s="147"/>
      <c r="I41" s="147"/>
      <c r="J41" s="151">
        <f t="shared" ref="J41:S41" si="4">SUBTOTAL(9,J20:J40)</f>
        <v>179445.75459999999</v>
      </c>
      <c r="K41" s="151">
        <f t="shared" si="4"/>
        <v>3970.0702000000001</v>
      </c>
      <c r="L41" s="151">
        <f t="shared" si="4"/>
        <v>3089.0718000000002</v>
      </c>
      <c r="M41" s="147">
        <f t="shared" si="4"/>
        <v>1491995924.0899999</v>
      </c>
      <c r="N41" s="147">
        <f t="shared" si="4"/>
        <v>169662237.84999999</v>
      </c>
      <c r="O41" s="147">
        <f t="shared" si="4"/>
        <v>130115286.32999995</v>
      </c>
      <c r="P41" s="147">
        <f t="shared" si="4"/>
        <v>1498372050.98</v>
      </c>
      <c r="Q41" s="147">
        <f t="shared" si="4"/>
        <v>38112673.920000009</v>
      </c>
      <c r="R41" s="147">
        <f t="shared" si="4"/>
        <v>27801646.199999999</v>
      </c>
      <c r="S41" s="147">
        <f t="shared" si="4"/>
        <v>3356059819.3700004</v>
      </c>
    </row>
    <row r="42" spans="1:19" s="64" customFormat="1" ht="14.25" customHeight="1" outlineLevel="2">
      <c r="A42" s="67">
        <v>533</v>
      </c>
      <c r="B42" s="68" t="s">
        <v>26</v>
      </c>
      <c r="C42" s="68" t="s">
        <v>103</v>
      </c>
      <c r="D42" s="68" t="s">
        <v>104</v>
      </c>
      <c r="E42" s="68" t="s">
        <v>105</v>
      </c>
      <c r="F42" s="68" t="s">
        <v>106</v>
      </c>
      <c r="G42" s="69">
        <v>92905</v>
      </c>
      <c r="H42" s="142">
        <v>1328.87</v>
      </c>
      <c r="I42" s="142">
        <v>147.21</v>
      </c>
      <c r="J42" s="132">
        <v>40982.7598</v>
      </c>
      <c r="K42" s="132">
        <v>940.09939999999995</v>
      </c>
      <c r="L42" s="132">
        <v>3496.7195999999999</v>
      </c>
      <c r="M42" s="142">
        <v>123458667.34999999</v>
      </c>
      <c r="N42" s="142">
        <v>13676545.050000001</v>
      </c>
      <c r="O42" s="142">
        <v>9882826.5999999996</v>
      </c>
      <c r="P42" s="142">
        <v>342206044.32999998</v>
      </c>
      <c r="Q42" s="142">
        <v>9024954.2400000002</v>
      </c>
      <c r="R42" s="142">
        <v>31470476.399999999</v>
      </c>
      <c r="S42" s="142">
        <f t="shared" si="3"/>
        <v>529719513.97000003</v>
      </c>
    </row>
    <row r="43" spans="1:19" s="64" customFormat="1" ht="14.25" customHeight="1" outlineLevel="2">
      <c r="A43" s="67">
        <v>534</v>
      </c>
      <c r="B43" s="68" t="s">
        <v>26</v>
      </c>
      <c r="C43" s="68" t="s">
        <v>103</v>
      </c>
      <c r="D43" s="68" t="s">
        <v>104</v>
      </c>
      <c r="E43" s="68" t="s">
        <v>107</v>
      </c>
      <c r="F43" s="68" t="s">
        <v>108</v>
      </c>
      <c r="G43" s="69">
        <v>21409</v>
      </c>
      <c r="H43" s="142">
        <v>1328.87</v>
      </c>
      <c r="I43" s="142">
        <v>147.21</v>
      </c>
      <c r="J43" s="132">
        <v>1280.3031000000001</v>
      </c>
      <c r="K43" s="132">
        <v>18.897400000000001</v>
      </c>
      <c r="L43" s="132">
        <v>0</v>
      </c>
      <c r="M43" s="142">
        <v>28449777.829999998</v>
      </c>
      <c r="N43" s="142">
        <v>3151618.89</v>
      </c>
      <c r="O43" s="142">
        <v>1711340.92</v>
      </c>
      <c r="P43" s="142">
        <v>10690530.890000001</v>
      </c>
      <c r="Q43" s="142">
        <v>181415.04000000001</v>
      </c>
      <c r="R43" s="142">
        <v>0</v>
      </c>
      <c r="S43" s="142">
        <f t="shared" si="3"/>
        <v>44184683.57</v>
      </c>
    </row>
    <row r="44" spans="1:19" s="64" customFormat="1" ht="14.25" customHeight="1" outlineLevel="2">
      <c r="A44" s="67">
        <v>535</v>
      </c>
      <c r="B44" s="68" t="s">
        <v>26</v>
      </c>
      <c r="C44" s="68" t="s">
        <v>103</v>
      </c>
      <c r="D44" s="68" t="s">
        <v>104</v>
      </c>
      <c r="E44" s="68" t="s">
        <v>109</v>
      </c>
      <c r="F44" s="68" t="s">
        <v>110</v>
      </c>
      <c r="G44" s="69">
        <v>47161</v>
      </c>
      <c r="H44" s="142">
        <v>1328.87</v>
      </c>
      <c r="I44" s="142">
        <v>147.21</v>
      </c>
      <c r="J44" s="132">
        <v>2564.0414000000001</v>
      </c>
      <c r="K44" s="132">
        <v>32.728200000000001</v>
      </c>
      <c r="L44" s="132">
        <v>0</v>
      </c>
      <c r="M44" s="142">
        <v>62670838.07</v>
      </c>
      <c r="N44" s="142">
        <v>6942570.8099999996</v>
      </c>
      <c r="O44" s="142">
        <v>5157745.1100000003</v>
      </c>
      <c r="P44" s="142">
        <v>21409745.690000001</v>
      </c>
      <c r="Q44" s="142">
        <v>314190.71999999997</v>
      </c>
      <c r="R44" s="142">
        <v>0</v>
      </c>
      <c r="S44" s="142">
        <f t="shared" si="3"/>
        <v>96495090.400000006</v>
      </c>
    </row>
    <row r="45" spans="1:19" s="64" customFormat="1" ht="14.25" customHeight="1" outlineLevel="2">
      <c r="A45" s="67">
        <v>536</v>
      </c>
      <c r="B45" s="68" t="s">
        <v>26</v>
      </c>
      <c r="C45" s="68" t="s">
        <v>103</v>
      </c>
      <c r="D45" s="68" t="s">
        <v>104</v>
      </c>
      <c r="E45" s="68" t="s">
        <v>111</v>
      </c>
      <c r="F45" s="68" t="s">
        <v>112</v>
      </c>
      <c r="G45" s="69">
        <v>34265</v>
      </c>
      <c r="H45" s="142">
        <v>1328.87</v>
      </c>
      <c r="I45" s="142">
        <v>147.21</v>
      </c>
      <c r="J45" s="132">
        <v>2354.625</v>
      </c>
      <c r="K45" s="132">
        <v>50.146599999999999</v>
      </c>
      <c r="L45" s="132">
        <v>0</v>
      </c>
      <c r="M45" s="142">
        <v>45533730.549999997</v>
      </c>
      <c r="N45" s="142">
        <v>5044150.6500000004</v>
      </c>
      <c r="O45" s="142">
        <v>3320950.04</v>
      </c>
      <c r="P45" s="142">
        <v>19661118.75</v>
      </c>
      <c r="Q45" s="142">
        <v>481407.36</v>
      </c>
      <c r="R45" s="142">
        <v>0</v>
      </c>
      <c r="S45" s="142">
        <f t="shared" si="3"/>
        <v>74041357.349999994</v>
      </c>
    </row>
    <row r="46" spans="1:19" s="64" customFormat="1" ht="14.25" customHeight="1" outlineLevel="2">
      <c r="A46" s="67">
        <v>537</v>
      </c>
      <c r="B46" s="68" t="s">
        <v>26</v>
      </c>
      <c r="C46" s="68" t="s">
        <v>103</v>
      </c>
      <c r="D46" s="68" t="s">
        <v>104</v>
      </c>
      <c r="E46" s="68" t="s">
        <v>113</v>
      </c>
      <c r="F46" s="68" t="s">
        <v>114</v>
      </c>
      <c r="G46" s="69">
        <v>8824</v>
      </c>
      <c r="H46" s="142">
        <v>1328.87</v>
      </c>
      <c r="I46" s="142">
        <v>147.21</v>
      </c>
      <c r="J46" s="132">
        <v>580.39110000000005</v>
      </c>
      <c r="K46" s="132">
        <v>16.4788</v>
      </c>
      <c r="L46" s="132">
        <v>0</v>
      </c>
      <c r="M46" s="142">
        <v>11725948.880000001</v>
      </c>
      <c r="N46" s="142">
        <v>1298981.04</v>
      </c>
      <c r="O46" s="142">
        <v>881773.23</v>
      </c>
      <c r="P46" s="142">
        <v>4846265.6900000004</v>
      </c>
      <c r="Q46" s="142">
        <v>158196.48000000001</v>
      </c>
      <c r="R46" s="142">
        <v>0</v>
      </c>
      <c r="S46" s="142">
        <f t="shared" si="3"/>
        <v>18911165.32</v>
      </c>
    </row>
    <row r="47" spans="1:19" s="64" customFormat="1" ht="14.25" customHeight="1" outlineLevel="2">
      <c r="A47" s="67">
        <v>538</v>
      </c>
      <c r="B47" s="68" t="s">
        <v>26</v>
      </c>
      <c r="C47" s="68" t="s">
        <v>103</v>
      </c>
      <c r="D47" s="68" t="s">
        <v>104</v>
      </c>
      <c r="E47" s="68" t="s">
        <v>115</v>
      </c>
      <c r="F47" s="68" t="s">
        <v>116</v>
      </c>
      <c r="G47" s="69">
        <v>18132</v>
      </c>
      <c r="H47" s="142">
        <v>1328.87</v>
      </c>
      <c r="I47" s="142">
        <v>147.21</v>
      </c>
      <c r="J47" s="132">
        <v>1000.0644</v>
      </c>
      <c r="K47" s="132">
        <v>22.388000000000002</v>
      </c>
      <c r="L47" s="132">
        <v>0</v>
      </c>
      <c r="M47" s="142">
        <v>24095070.84</v>
      </c>
      <c r="N47" s="142">
        <v>2669211.7200000002</v>
      </c>
      <c r="O47" s="142">
        <v>2127585.16</v>
      </c>
      <c r="P47" s="142">
        <v>8350537.7400000002</v>
      </c>
      <c r="Q47" s="142">
        <v>214924.79999999999</v>
      </c>
      <c r="R47" s="142">
        <v>0</v>
      </c>
      <c r="S47" s="142">
        <f t="shared" si="3"/>
        <v>37457330.259999998</v>
      </c>
    </row>
    <row r="48" spans="1:19" s="64" customFormat="1" ht="14.25" customHeight="1" outlineLevel="2">
      <c r="A48" s="67">
        <v>539</v>
      </c>
      <c r="B48" s="68" t="s">
        <v>26</v>
      </c>
      <c r="C48" s="68" t="s">
        <v>103</v>
      </c>
      <c r="D48" s="68" t="s">
        <v>104</v>
      </c>
      <c r="E48" s="68" t="s">
        <v>117</v>
      </c>
      <c r="F48" s="68" t="s">
        <v>118</v>
      </c>
      <c r="G48" s="69">
        <v>21233</v>
      </c>
      <c r="H48" s="142">
        <v>1328.87</v>
      </c>
      <c r="I48" s="142">
        <v>147.21</v>
      </c>
      <c r="J48" s="132">
        <v>1445.2726</v>
      </c>
      <c r="K48" s="132">
        <v>20.837199999999999</v>
      </c>
      <c r="L48" s="132">
        <v>3.6461000000000001</v>
      </c>
      <c r="M48" s="142">
        <v>28215896.710000001</v>
      </c>
      <c r="N48" s="142">
        <v>3125709.93</v>
      </c>
      <c r="O48" s="142">
        <v>2283622.5099999998</v>
      </c>
      <c r="P48" s="142">
        <v>12068026.210000001</v>
      </c>
      <c r="Q48" s="142">
        <v>200037.12</v>
      </c>
      <c r="R48" s="142">
        <v>32814.9</v>
      </c>
      <c r="S48" s="142">
        <f t="shared" si="3"/>
        <v>45926107.380000003</v>
      </c>
    </row>
    <row r="49" spans="1:19" s="64" customFormat="1" ht="14.25" customHeight="1" outlineLevel="2">
      <c r="A49" s="67">
        <v>540</v>
      </c>
      <c r="B49" s="68" t="s">
        <v>26</v>
      </c>
      <c r="C49" s="68" t="s">
        <v>103</v>
      </c>
      <c r="D49" s="68" t="s">
        <v>104</v>
      </c>
      <c r="E49" s="68" t="s">
        <v>119</v>
      </c>
      <c r="F49" s="68" t="s">
        <v>120</v>
      </c>
      <c r="G49" s="69">
        <v>86991</v>
      </c>
      <c r="H49" s="142">
        <v>1328.87</v>
      </c>
      <c r="I49" s="142">
        <v>147.21</v>
      </c>
      <c r="J49" s="132">
        <v>5484.8693000000003</v>
      </c>
      <c r="K49" s="132">
        <v>83.618700000000004</v>
      </c>
      <c r="L49" s="132">
        <v>3.7113</v>
      </c>
      <c r="M49" s="142">
        <v>115599730.17</v>
      </c>
      <c r="N49" s="142">
        <v>12805945.109999999</v>
      </c>
      <c r="O49" s="142">
        <v>9403565.6699999999</v>
      </c>
      <c r="P49" s="142">
        <v>45798658.659999996</v>
      </c>
      <c r="Q49" s="142">
        <v>802739.52</v>
      </c>
      <c r="R49" s="142">
        <v>33401.699999999997</v>
      </c>
      <c r="S49" s="142">
        <f t="shared" si="3"/>
        <v>184444040.83000001</v>
      </c>
    </row>
    <row r="50" spans="1:19" s="64" customFormat="1" ht="14.25" customHeight="1" outlineLevel="2">
      <c r="A50" s="67">
        <v>541</v>
      </c>
      <c r="B50" s="68" t="s">
        <v>26</v>
      </c>
      <c r="C50" s="68" t="s">
        <v>103</v>
      </c>
      <c r="D50" s="68" t="s">
        <v>104</v>
      </c>
      <c r="E50" s="68" t="s">
        <v>121</v>
      </c>
      <c r="F50" s="68" t="s">
        <v>122</v>
      </c>
      <c r="G50" s="69">
        <v>26805</v>
      </c>
      <c r="H50" s="142">
        <v>1328.87</v>
      </c>
      <c r="I50" s="142">
        <v>147.21</v>
      </c>
      <c r="J50" s="132">
        <v>1525.2987000000001</v>
      </c>
      <c r="K50" s="132">
        <v>46.270600000000002</v>
      </c>
      <c r="L50" s="132">
        <v>0</v>
      </c>
      <c r="M50" s="142">
        <v>35620360.350000001</v>
      </c>
      <c r="N50" s="142">
        <v>3945964.05</v>
      </c>
      <c r="O50" s="142">
        <v>2348145.64</v>
      </c>
      <c r="P50" s="142">
        <v>12736244.15</v>
      </c>
      <c r="Q50" s="142">
        <v>444197.76</v>
      </c>
      <c r="R50" s="142">
        <v>0</v>
      </c>
      <c r="S50" s="142">
        <f t="shared" si="3"/>
        <v>55094911.950000003</v>
      </c>
    </row>
    <row r="51" spans="1:19" s="64" customFormat="1" ht="14.25" customHeight="1" outlineLevel="2">
      <c r="A51" s="67">
        <v>542</v>
      </c>
      <c r="B51" s="68" t="s">
        <v>26</v>
      </c>
      <c r="C51" s="68" t="s">
        <v>103</v>
      </c>
      <c r="D51" s="68" t="s">
        <v>104</v>
      </c>
      <c r="E51" s="68" t="s">
        <v>123</v>
      </c>
      <c r="F51" s="68" t="s">
        <v>124</v>
      </c>
      <c r="G51" s="69">
        <v>20120</v>
      </c>
      <c r="H51" s="142">
        <v>1328.87</v>
      </c>
      <c r="I51" s="142">
        <v>147.21</v>
      </c>
      <c r="J51" s="132">
        <v>1602.0282999999999</v>
      </c>
      <c r="K51" s="132">
        <v>18.923400000000001</v>
      </c>
      <c r="L51" s="132">
        <v>0</v>
      </c>
      <c r="M51" s="142">
        <v>26736864.399999999</v>
      </c>
      <c r="N51" s="142">
        <v>2961865.2</v>
      </c>
      <c r="O51" s="142">
        <v>2190591.62</v>
      </c>
      <c r="P51" s="142">
        <v>13376936.310000001</v>
      </c>
      <c r="Q51" s="142">
        <v>181664.64000000001</v>
      </c>
      <c r="R51" s="142">
        <v>0</v>
      </c>
      <c r="S51" s="142">
        <f t="shared" si="3"/>
        <v>45447922.170000002</v>
      </c>
    </row>
    <row r="52" spans="1:19" s="64" customFormat="1" ht="14.25" customHeight="1" outlineLevel="2">
      <c r="A52" s="67">
        <v>543</v>
      </c>
      <c r="B52" s="68" t="s">
        <v>26</v>
      </c>
      <c r="C52" s="68" t="s">
        <v>103</v>
      </c>
      <c r="D52" s="68" t="s">
        <v>104</v>
      </c>
      <c r="E52" s="68" t="s">
        <v>125</v>
      </c>
      <c r="F52" s="68" t="s">
        <v>126</v>
      </c>
      <c r="G52" s="69">
        <v>32222</v>
      </c>
      <c r="H52" s="142">
        <v>1328.87</v>
      </c>
      <c r="I52" s="142">
        <v>147.21</v>
      </c>
      <c r="J52" s="132">
        <v>1936.6090999999999</v>
      </c>
      <c r="K52" s="132">
        <v>38.115400000000001</v>
      </c>
      <c r="L52" s="132">
        <v>0</v>
      </c>
      <c r="M52" s="142">
        <v>42818849.140000001</v>
      </c>
      <c r="N52" s="142">
        <v>4743400.62</v>
      </c>
      <c r="O52" s="142">
        <v>3172227.93</v>
      </c>
      <c r="P52" s="142">
        <v>16170685.99</v>
      </c>
      <c r="Q52" s="142">
        <v>365907.84</v>
      </c>
      <c r="R52" s="142">
        <v>0</v>
      </c>
      <c r="S52" s="142">
        <f t="shared" si="3"/>
        <v>67271071.519999996</v>
      </c>
    </row>
    <row r="53" spans="1:19" s="64" customFormat="1" ht="14.25" customHeight="1" outlineLevel="2">
      <c r="A53" s="67">
        <v>544</v>
      </c>
      <c r="B53" s="68" t="s">
        <v>26</v>
      </c>
      <c r="C53" s="68" t="s">
        <v>103</v>
      </c>
      <c r="D53" s="68" t="s">
        <v>104</v>
      </c>
      <c r="E53" s="68" t="s">
        <v>127</v>
      </c>
      <c r="F53" s="68" t="s">
        <v>128</v>
      </c>
      <c r="G53" s="69">
        <v>41779</v>
      </c>
      <c r="H53" s="142">
        <v>1328.87</v>
      </c>
      <c r="I53" s="142">
        <v>147.21</v>
      </c>
      <c r="J53" s="132">
        <v>2521.5257000000001</v>
      </c>
      <c r="K53" s="132">
        <v>76.670299999999997</v>
      </c>
      <c r="L53" s="132">
        <v>7.5739999999999998</v>
      </c>
      <c r="M53" s="142">
        <v>55518859.729999997</v>
      </c>
      <c r="N53" s="142">
        <v>6150286.5899999999</v>
      </c>
      <c r="O53" s="142">
        <v>4652915.62</v>
      </c>
      <c r="P53" s="142">
        <v>21054739.600000001</v>
      </c>
      <c r="Q53" s="142">
        <v>736034.88</v>
      </c>
      <c r="R53" s="142">
        <v>68166</v>
      </c>
      <c r="S53" s="142">
        <f t="shared" si="3"/>
        <v>88181002.420000002</v>
      </c>
    </row>
    <row r="54" spans="1:19" s="64" customFormat="1" ht="14.25" customHeight="1" outlineLevel="2">
      <c r="A54" s="67">
        <v>545</v>
      </c>
      <c r="B54" s="68" t="s">
        <v>26</v>
      </c>
      <c r="C54" s="68" t="s">
        <v>103</v>
      </c>
      <c r="D54" s="68" t="s">
        <v>104</v>
      </c>
      <c r="E54" s="68" t="s">
        <v>129</v>
      </c>
      <c r="F54" s="68" t="s">
        <v>130</v>
      </c>
      <c r="G54" s="69">
        <v>31384</v>
      </c>
      <c r="H54" s="142">
        <v>1328.87</v>
      </c>
      <c r="I54" s="142">
        <v>147.21</v>
      </c>
      <c r="J54" s="132">
        <v>1906.1126999999999</v>
      </c>
      <c r="K54" s="132">
        <v>44.612099999999998</v>
      </c>
      <c r="L54" s="132">
        <v>0</v>
      </c>
      <c r="M54" s="142">
        <v>41705256.079999998</v>
      </c>
      <c r="N54" s="142">
        <v>4620038.6399999997</v>
      </c>
      <c r="O54" s="142">
        <v>2172886.85</v>
      </c>
      <c r="P54" s="142">
        <v>15916041.050000001</v>
      </c>
      <c r="Q54" s="142">
        <v>428276.16</v>
      </c>
      <c r="R54" s="142">
        <v>0</v>
      </c>
      <c r="S54" s="142">
        <f t="shared" si="3"/>
        <v>64842498.780000001</v>
      </c>
    </row>
    <row r="55" spans="1:19" s="64" customFormat="1" ht="14.25" customHeight="1" outlineLevel="2">
      <c r="A55" s="67">
        <v>546</v>
      </c>
      <c r="B55" s="68" t="s">
        <v>26</v>
      </c>
      <c r="C55" s="68" t="s">
        <v>103</v>
      </c>
      <c r="D55" s="68" t="s">
        <v>104</v>
      </c>
      <c r="E55" s="68" t="s">
        <v>131</v>
      </c>
      <c r="F55" s="68" t="s">
        <v>132</v>
      </c>
      <c r="G55" s="69">
        <v>19972</v>
      </c>
      <c r="H55" s="142">
        <v>1328.87</v>
      </c>
      <c r="I55" s="142">
        <v>147.21</v>
      </c>
      <c r="J55" s="132">
        <v>1040.8338000000001</v>
      </c>
      <c r="K55" s="132">
        <v>28.459700000000002</v>
      </c>
      <c r="L55" s="132">
        <v>0</v>
      </c>
      <c r="M55" s="142">
        <v>26540191.640000001</v>
      </c>
      <c r="N55" s="142">
        <v>2940078.12</v>
      </c>
      <c r="O55" s="142">
        <v>2028589.91</v>
      </c>
      <c r="P55" s="142">
        <v>8690962.2300000004</v>
      </c>
      <c r="Q55" s="142">
        <v>273213.12</v>
      </c>
      <c r="R55" s="142">
        <v>0</v>
      </c>
      <c r="S55" s="142">
        <f t="shared" si="3"/>
        <v>40473035.020000003</v>
      </c>
    </row>
    <row r="56" spans="1:19" s="64" customFormat="1" ht="14.25" customHeight="1" outlineLevel="1">
      <c r="A56" s="143"/>
      <c r="B56" s="144"/>
      <c r="C56" s="144"/>
      <c r="D56" s="145" t="s">
        <v>282</v>
      </c>
      <c r="E56" s="144"/>
      <c r="F56" s="144"/>
      <c r="G56" s="146">
        <f>SUBTOTAL(9,G42:G55)</f>
        <v>503202</v>
      </c>
      <c r="H56" s="147"/>
      <c r="I56" s="147"/>
      <c r="J56" s="151">
        <f t="shared" ref="J56:S56" si="5">SUBTOTAL(9,J42:J55)</f>
        <v>66224.734999999986</v>
      </c>
      <c r="K56" s="151">
        <f t="shared" si="5"/>
        <v>1438.2457999999999</v>
      </c>
      <c r="L56" s="151">
        <f t="shared" si="5"/>
        <v>3511.6509999999998</v>
      </c>
      <c r="M56" s="147">
        <f t="shared" si="5"/>
        <v>668690041.74000001</v>
      </c>
      <c r="N56" s="147">
        <f t="shared" si="5"/>
        <v>74076366.420000002</v>
      </c>
      <c r="O56" s="147">
        <f t="shared" si="5"/>
        <v>51334766.809999995</v>
      </c>
      <c r="P56" s="147">
        <f t="shared" si="5"/>
        <v>552976537.28999996</v>
      </c>
      <c r="Q56" s="147">
        <f t="shared" si="5"/>
        <v>13807159.68</v>
      </c>
      <c r="R56" s="147">
        <f t="shared" si="5"/>
        <v>31604858.999999996</v>
      </c>
      <c r="S56" s="147">
        <f t="shared" si="5"/>
        <v>1392489730.9400003</v>
      </c>
    </row>
    <row r="57" spans="1:19" s="64" customFormat="1" ht="14.25" customHeight="1" outlineLevel="2">
      <c r="A57" s="67">
        <v>547</v>
      </c>
      <c r="B57" s="68" t="s">
        <v>26</v>
      </c>
      <c r="C57" s="68" t="s">
        <v>133</v>
      </c>
      <c r="D57" s="68" t="s">
        <v>134</v>
      </c>
      <c r="E57" s="68" t="s">
        <v>135</v>
      </c>
      <c r="F57" s="68" t="s">
        <v>136</v>
      </c>
      <c r="G57" s="69">
        <v>113857</v>
      </c>
      <c r="H57" s="142">
        <v>1310.1199999999999</v>
      </c>
      <c r="I57" s="142">
        <v>146.69</v>
      </c>
      <c r="J57" s="132">
        <v>25036.7287</v>
      </c>
      <c r="K57" s="132">
        <v>802.25710000000004</v>
      </c>
      <c r="L57" s="132">
        <v>771.60400000000004</v>
      </c>
      <c r="M57" s="142">
        <v>149166332.84</v>
      </c>
      <c r="N57" s="142">
        <v>16701683.33</v>
      </c>
      <c r="O57" s="142">
        <v>10802244.460000001</v>
      </c>
      <c r="P57" s="142">
        <v>209056684.65000001</v>
      </c>
      <c r="Q57" s="142">
        <v>7701668.1600000001</v>
      </c>
      <c r="R57" s="142">
        <v>6944436</v>
      </c>
      <c r="S57" s="142">
        <f t="shared" si="3"/>
        <v>400373049.44</v>
      </c>
    </row>
    <row r="58" spans="1:19" s="64" customFormat="1" ht="14.25" customHeight="1" outlineLevel="2">
      <c r="A58" s="67">
        <v>548</v>
      </c>
      <c r="B58" s="68" t="s">
        <v>26</v>
      </c>
      <c r="C58" s="68" t="s">
        <v>133</v>
      </c>
      <c r="D58" s="68" t="s">
        <v>134</v>
      </c>
      <c r="E58" s="68" t="s">
        <v>137</v>
      </c>
      <c r="F58" s="68" t="s">
        <v>138</v>
      </c>
      <c r="G58" s="69">
        <v>58808</v>
      </c>
      <c r="H58" s="142">
        <v>1310.1199999999999</v>
      </c>
      <c r="I58" s="142">
        <v>146.69</v>
      </c>
      <c r="J58" s="132">
        <v>4158.5572000000002</v>
      </c>
      <c r="K58" s="132">
        <v>72.887799999999999</v>
      </c>
      <c r="L58" s="132">
        <v>0</v>
      </c>
      <c r="M58" s="142">
        <v>77045536.959999993</v>
      </c>
      <c r="N58" s="142">
        <v>8626545.5199999996</v>
      </c>
      <c r="O58" s="142">
        <v>7790092.2000000002</v>
      </c>
      <c r="P58" s="142">
        <v>34723952.619999997</v>
      </c>
      <c r="Q58" s="142">
        <v>699722.88</v>
      </c>
      <c r="R58" s="142">
        <v>0</v>
      </c>
      <c r="S58" s="142">
        <f t="shared" si="3"/>
        <v>128885850.18000001</v>
      </c>
    </row>
    <row r="59" spans="1:19" s="64" customFormat="1" ht="14.25" customHeight="1" outlineLevel="2">
      <c r="A59" s="67">
        <v>549</v>
      </c>
      <c r="B59" s="68" t="s">
        <v>26</v>
      </c>
      <c r="C59" s="68" t="s">
        <v>133</v>
      </c>
      <c r="D59" s="68" t="s">
        <v>134</v>
      </c>
      <c r="E59" s="68" t="s">
        <v>139</v>
      </c>
      <c r="F59" s="68" t="s">
        <v>140</v>
      </c>
      <c r="G59" s="69">
        <v>23615</v>
      </c>
      <c r="H59" s="142">
        <v>1310.1199999999999</v>
      </c>
      <c r="I59" s="142">
        <v>146.69</v>
      </c>
      <c r="J59" s="132">
        <v>1035.9312</v>
      </c>
      <c r="K59" s="132">
        <v>31.698699999999999</v>
      </c>
      <c r="L59" s="132">
        <v>0</v>
      </c>
      <c r="M59" s="142">
        <v>30938483.800000001</v>
      </c>
      <c r="N59" s="142">
        <v>3464084.35</v>
      </c>
      <c r="O59" s="142">
        <v>2511438.88</v>
      </c>
      <c r="P59" s="142">
        <v>8650025.5199999996</v>
      </c>
      <c r="Q59" s="142">
        <v>304307.52</v>
      </c>
      <c r="R59" s="142">
        <v>0</v>
      </c>
      <c r="S59" s="142">
        <f t="shared" si="3"/>
        <v>45868340.07</v>
      </c>
    </row>
    <row r="60" spans="1:19" s="64" customFormat="1" ht="14.25" customHeight="1" outlineLevel="2">
      <c r="A60" s="67">
        <v>550</v>
      </c>
      <c r="B60" s="68" t="s">
        <v>26</v>
      </c>
      <c r="C60" s="68" t="s">
        <v>133</v>
      </c>
      <c r="D60" s="68" t="s">
        <v>134</v>
      </c>
      <c r="E60" s="68" t="s">
        <v>141</v>
      </c>
      <c r="F60" s="68" t="s">
        <v>142</v>
      </c>
      <c r="G60" s="69">
        <v>20444</v>
      </c>
      <c r="H60" s="142">
        <v>1310.1199999999999</v>
      </c>
      <c r="I60" s="142">
        <v>146.69</v>
      </c>
      <c r="J60" s="132">
        <v>1600.0196000000001</v>
      </c>
      <c r="K60" s="132">
        <v>32.459099999999999</v>
      </c>
      <c r="L60" s="132">
        <v>0</v>
      </c>
      <c r="M60" s="142">
        <v>26784093.280000001</v>
      </c>
      <c r="N60" s="142">
        <v>2998930.36</v>
      </c>
      <c r="O60" s="142">
        <v>2760566.47</v>
      </c>
      <c r="P60" s="142">
        <v>13360163.66</v>
      </c>
      <c r="Q60" s="142">
        <v>311607.36</v>
      </c>
      <c r="R60" s="142">
        <v>0</v>
      </c>
      <c r="S60" s="142">
        <f t="shared" si="3"/>
        <v>46215361.130000003</v>
      </c>
    </row>
    <row r="61" spans="1:19" s="64" customFormat="1" ht="14.25" customHeight="1" outlineLevel="2">
      <c r="A61" s="67">
        <v>551</v>
      </c>
      <c r="B61" s="68" t="s">
        <v>26</v>
      </c>
      <c r="C61" s="68" t="s">
        <v>133</v>
      </c>
      <c r="D61" s="68" t="s">
        <v>134</v>
      </c>
      <c r="E61" s="68" t="s">
        <v>143</v>
      </c>
      <c r="F61" s="68" t="s">
        <v>144</v>
      </c>
      <c r="G61" s="69">
        <v>63858</v>
      </c>
      <c r="H61" s="142">
        <v>1310.1199999999999</v>
      </c>
      <c r="I61" s="142">
        <v>146.69</v>
      </c>
      <c r="J61" s="132">
        <v>15479.2256</v>
      </c>
      <c r="K61" s="132">
        <v>185.00049999999999</v>
      </c>
      <c r="L61" s="132">
        <v>272.47050000000002</v>
      </c>
      <c r="M61" s="142">
        <v>83661642.959999993</v>
      </c>
      <c r="N61" s="142">
        <v>9367330.0199999996</v>
      </c>
      <c r="O61" s="142">
        <v>6372044.5999999996</v>
      </c>
      <c r="P61" s="142">
        <v>129251533.76000001</v>
      </c>
      <c r="Q61" s="142">
        <v>1776004.8</v>
      </c>
      <c r="R61" s="142">
        <v>2452234.5</v>
      </c>
      <c r="S61" s="142">
        <f t="shared" si="3"/>
        <v>232880790.63999999</v>
      </c>
    </row>
    <row r="62" spans="1:19" s="64" customFormat="1" ht="14.25" customHeight="1" outlineLevel="2">
      <c r="A62" s="67">
        <v>552</v>
      </c>
      <c r="B62" s="68" t="s">
        <v>26</v>
      </c>
      <c r="C62" s="68" t="s">
        <v>133</v>
      </c>
      <c r="D62" s="68" t="s">
        <v>134</v>
      </c>
      <c r="E62" s="68" t="s">
        <v>145</v>
      </c>
      <c r="F62" s="68" t="s">
        <v>146</v>
      </c>
      <c r="G62" s="69">
        <v>20258</v>
      </c>
      <c r="H62" s="142">
        <v>1310.1199999999999</v>
      </c>
      <c r="I62" s="142">
        <v>146.69</v>
      </c>
      <c r="J62" s="132">
        <v>764.00919999999996</v>
      </c>
      <c r="K62" s="132">
        <v>14.5219</v>
      </c>
      <c r="L62" s="132">
        <v>0</v>
      </c>
      <c r="M62" s="142">
        <v>26540410.960000001</v>
      </c>
      <c r="N62" s="142">
        <v>2971646.02</v>
      </c>
      <c r="O62" s="142">
        <v>2171918.7200000002</v>
      </c>
      <c r="P62" s="142">
        <v>6379476.8200000003</v>
      </c>
      <c r="Q62" s="142">
        <v>139410.23999999999</v>
      </c>
      <c r="R62" s="142">
        <v>0</v>
      </c>
      <c r="S62" s="142">
        <f t="shared" si="3"/>
        <v>38202862.759999998</v>
      </c>
    </row>
    <row r="63" spans="1:19" s="64" customFormat="1" ht="14.25" customHeight="1" outlineLevel="2">
      <c r="A63" s="67">
        <v>553</v>
      </c>
      <c r="B63" s="68" t="s">
        <v>26</v>
      </c>
      <c r="C63" s="68" t="s">
        <v>133</v>
      </c>
      <c r="D63" s="68" t="s">
        <v>134</v>
      </c>
      <c r="E63" s="68" t="s">
        <v>147</v>
      </c>
      <c r="F63" s="68" t="s">
        <v>148</v>
      </c>
      <c r="G63" s="69">
        <v>11935</v>
      </c>
      <c r="H63" s="142">
        <v>1310.1199999999999</v>
      </c>
      <c r="I63" s="142">
        <v>146.69</v>
      </c>
      <c r="J63" s="132">
        <v>747.43359999999996</v>
      </c>
      <c r="K63" s="132">
        <v>16.221900000000002</v>
      </c>
      <c r="L63" s="132">
        <v>0</v>
      </c>
      <c r="M63" s="142">
        <v>15636282.199999999</v>
      </c>
      <c r="N63" s="142">
        <v>1750745.15</v>
      </c>
      <c r="O63" s="142">
        <v>1157044.52</v>
      </c>
      <c r="P63" s="142">
        <v>6241070.5599999996</v>
      </c>
      <c r="Q63" s="142">
        <v>155730.23999999999</v>
      </c>
      <c r="R63" s="142">
        <v>0</v>
      </c>
      <c r="S63" s="142">
        <f t="shared" si="3"/>
        <v>24940872.670000002</v>
      </c>
    </row>
    <row r="64" spans="1:19" s="64" customFormat="1" ht="14.25" customHeight="1" outlineLevel="2">
      <c r="A64" s="67">
        <v>554</v>
      </c>
      <c r="B64" s="68" t="s">
        <v>26</v>
      </c>
      <c r="C64" s="68" t="s">
        <v>133</v>
      </c>
      <c r="D64" s="68" t="s">
        <v>134</v>
      </c>
      <c r="E64" s="68" t="s">
        <v>149</v>
      </c>
      <c r="F64" s="68" t="s">
        <v>150</v>
      </c>
      <c r="G64" s="69">
        <v>36734</v>
      </c>
      <c r="H64" s="142">
        <v>1310.1199999999999</v>
      </c>
      <c r="I64" s="142">
        <v>146.69</v>
      </c>
      <c r="J64" s="132">
        <v>1199.5108</v>
      </c>
      <c r="K64" s="132">
        <v>26.208500000000001</v>
      </c>
      <c r="L64" s="132">
        <v>0</v>
      </c>
      <c r="M64" s="142">
        <v>48125948.079999998</v>
      </c>
      <c r="N64" s="142">
        <v>5388510.46</v>
      </c>
      <c r="O64" s="142">
        <v>4357293.0599999996</v>
      </c>
      <c r="P64" s="142">
        <v>10015915.18</v>
      </c>
      <c r="Q64" s="142">
        <v>251601.6</v>
      </c>
      <c r="R64" s="142">
        <v>0</v>
      </c>
      <c r="S64" s="142">
        <f t="shared" si="3"/>
        <v>68139268.379999995</v>
      </c>
    </row>
    <row r="65" spans="1:19" s="64" customFormat="1" ht="14.25" customHeight="1" outlineLevel="2">
      <c r="A65" s="67">
        <v>555</v>
      </c>
      <c r="B65" s="68" t="s">
        <v>26</v>
      </c>
      <c r="C65" s="68" t="s">
        <v>133</v>
      </c>
      <c r="D65" s="68" t="s">
        <v>134</v>
      </c>
      <c r="E65" s="68" t="s">
        <v>151</v>
      </c>
      <c r="F65" s="68" t="s">
        <v>152</v>
      </c>
      <c r="G65" s="69">
        <v>29056</v>
      </c>
      <c r="H65" s="142">
        <v>1310.1199999999999</v>
      </c>
      <c r="I65" s="142">
        <v>146.69</v>
      </c>
      <c r="J65" s="132">
        <v>756.48389999999995</v>
      </c>
      <c r="K65" s="132">
        <v>16.392700000000001</v>
      </c>
      <c r="L65" s="132">
        <v>0</v>
      </c>
      <c r="M65" s="142">
        <v>38066846.719999999</v>
      </c>
      <c r="N65" s="142">
        <v>4262224.6399999997</v>
      </c>
      <c r="O65" s="142">
        <v>2843699.06</v>
      </c>
      <c r="P65" s="142">
        <v>6316640.5700000003</v>
      </c>
      <c r="Q65" s="142">
        <v>157369.92000000001</v>
      </c>
      <c r="R65" s="142">
        <v>0</v>
      </c>
      <c r="S65" s="142">
        <f t="shared" si="3"/>
        <v>51646780.909999996</v>
      </c>
    </row>
    <row r="66" spans="1:19" s="64" customFormat="1" ht="14.25" customHeight="1" outlineLevel="1">
      <c r="A66" s="143"/>
      <c r="B66" s="144"/>
      <c r="C66" s="144"/>
      <c r="D66" s="145" t="s">
        <v>283</v>
      </c>
      <c r="E66" s="144"/>
      <c r="F66" s="144"/>
      <c r="G66" s="146">
        <f>SUBTOTAL(9,G57:G65)</f>
        <v>378565</v>
      </c>
      <c r="H66" s="147"/>
      <c r="I66" s="147"/>
      <c r="J66" s="151">
        <f t="shared" ref="J66:S66" si="6">SUBTOTAL(9,J57:J65)</f>
        <v>50777.899799999992</v>
      </c>
      <c r="K66" s="151">
        <f t="shared" si="6"/>
        <v>1197.6482000000001</v>
      </c>
      <c r="L66" s="151">
        <f t="shared" si="6"/>
        <v>1044.0745000000002</v>
      </c>
      <c r="M66" s="147">
        <f t="shared" si="6"/>
        <v>495965577.79999995</v>
      </c>
      <c r="N66" s="147">
        <f t="shared" si="6"/>
        <v>55531699.850000001</v>
      </c>
      <c r="O66" s="147">
        <f t="shared" si="6"/>
        <v>40766341.970000006</v>
      </c>
      <c r="P66" s="147">
        <f t="shared" si="6"/>
        <v>423995463.34000003</v>
      </c>
      <c r="Q66" s="147">
        <f t="shared" si="6"/>
        <v>11497422.720000001</v>
      </c>
      <c r="R66" s="147">
        <f t="shared" si="6"/>
        <v>9396670.5</v>
      </c>
      <c r="S66" s="147">
        <f t="shared" si="6"/>
        <v>1037153176.1799999</v>
      </c>
    </row>
    <row r="67" spans="1:19" s="64" customFormat="1" ht="14.25" customHeight="1" outlineLevel="2">
      <c r="A67" s="67">
        <v>556</v>
      </c>
      <c r="B67" s="68" t="s">
        <v>26</v>
      </c>
      <c r="C67" s="68" t="s">
        <v>153</v>
      </c>
      <c r="D67" s="68" t="s">
        <v>154</v>
      </c>
      <c r="E67" s="68" t="s">
        <v>155</v>
      </c>
      <c r="F67" s="68" t="s">
        <v>156</v>
      </c>
      <c r="G67" s="69">
        <v>144119</v>
      </c>
      <c r="H67" s="142">
        <v>1261.45</v>
      </c>
      <c r="I67" s="142">
        <v>145.46</v>
      </c>
      <c r="J67" s="132">
        <v>64935.822200000002</v>
      </c>
      <c r="K67" s="132">
        <v>1697.0589</v>
      </c>
      <c r="L67" s="132">
        <v>3289.3168000000001</v>
      </c>
      <c r="M67" s="142">
        <v>181798912.55000001</v>
      </c>
      <c r="N67" s="142">
        <v>20963549.739999998</v>
      </c>
      <c r="O67" s="142">
        <v>14003285.109999999</v>
      </c>
      <c r="P67" s="142">
        <v>542214115.37</v>
      </c>
      <c r="Q67" s="142">
        <v>16291765.439999999</v>
      </c>
      <c r="R67" s="142">
        <v>29603851.199999999</v>
      </c>
      <c r="S67" s="142">
        <f t="shared" si="3"/>
        <v>804875479.40999997</v>
      </c>
    </row>
    <row r="68" spans="1:19" s="64" customFormat="1" ht="14.25" customHeight="1" outlineLevel="2">
      <c r="A68" s="67">
        <v>557</v>
      </c>
      <c r="B68" s="68" t="s">
        <v>26</v>
      </c>
      <c r="C68" s="68" t="s">
        <v>153</v>
      </c>
      <c r="D68" s="68" t="s">
        <v>154</v>
      </c>
      <c r="E68" s="68" t="s">
        <v>157</v>
      </c>
      <c r="F68" s="68" t="s">
        <v>158</v>
      </c>
      <c r="G68" s="69">
        <v>35944</v>
      </c>
      <c r="H68" s="142">
        <v>1261.45</v>
      </c>
      <c r="I68" s="142">
        <v>145.46</v>
      </c>
      <c r="J68" s="132">
        <v>1801.1591000000001</v>
      </c>
      <c r="K68" s="132">
        <v>37.211599999999997</v>
      </c>
      <c r="L68" s="132">
        <v>0</v>
      </c>
      <c r="M68" s="142">
        <v>45341558.799999997</v>
      </c>
      <c r="N68" s="142">
        <v>5228414.24</v>
      </c>
      <c r="O68" s="142">
        <v>3624960.36</v>
      </c>
      <c r="P68" s="142">
        <v>15039678.49</v>
      </c>
      <c r="Q68" s="142">
        <v>357231.35999999999</v>
      </c>
      <c r="R68" s="142">
        <v>0</v>
      </c>
      <c r="S68" s="142">
        <f t="shared" si="3"/>
        <v>69591843.25</v>
      </c>
    </row>
    <row r="69" spans="1:19" s="64" customFormat="1" ht="14.25" customHeight="1" outlineLevel="2">
      <c r="A69" s="67">
        <v>558</v>
      </c>
      <c r="B69" s="68" t="s">
        <v>26</v>
      </c>
      <c r="C69" s="68" t="s">
        <v>153</v>
      </c>
      <c r="D69" s="68" t="s">
        <v>154</v>
      </c>
      <c r="E69" s="68" t="s">
        <v>159</v>
      </c>
      <c r="F69" s="68" t="s">
        <v>160</v>
      </c>
      <c r="G69" s="69">
        <v>24067</v>
      </c>
      <c r="H69" s="142">
        <v>1261.45</v>
      </c>
      <c r="I69" s="142">
        <v>145.46</v>
      </c>
      <c r="J69" s="132">
        <v>1380.0408</v>
      </c>
      <c r="K69" s="132">
        <v>11.3102</v>
      </c>
      <c r="L69" s="132">
        <v>0</v>
      </c>
      <c r="M69" s="142">
        <v>30359317.149999999</v>
      </c>
      <c r="N69" s="142">
        <v>3500785.82</v>
      </c>
      <c r="O69" s="142">
        <v>2701342.48</v>
      </c>
      <c r="P69" s="142">
        <v>11523340.68</v>
      </c>
      <c r="Q69" s="142">
        <v>108577.92</v>
      </c>
      <c r="R69" s="142">
        <v>0</v>
      </c>
      <c r="S69" s="142">
        <f t="shared" si="3"/>
        <v>48193364.049999997</v>
      </c>
    </row>
    <row r="70" spans="1:19" s="64" customFormat="1" ht="14.25" customHeight="1" outlineLevel="2">
      <c r="A70" s="67">
        <v>559</v>
      </c>
      <c r="B70" s="68" t="s">
        <v>26</v>
      </c>
      <c r="C70" s="68" t="s">
        <v>153</v>
      </c>
      <c r="D70" s="68" t="s">
        <v>154</v>
      </c>
      <c r="E70" s="68" t="s">
        <v>161</v>
      </c>
      <c r="F70" s="68" t="s">
        <v>162</v>
      </c>
      <c r="G70" s="69">
        <v>55513</v>
      </c>
      <c r="H70" s="142">
        <v>1261.45</v>
      </c>
      <c r="I70" s="142">
        <v>145.46</v>
      </c>
      <c r="J70" s="132">
        <v>3467.9058</v>
      </c>
      <c r="K70" s="132">
        <v>60.6571</v>
      </c>
      <c r="L70" s="132">
        <v>0</v>
      </c>
      <c r="M70" s="142">
        <v>70026873.849999994</v>
      </c>
      <c r="N70" s="142">
        <v>8074920.9800000004</v>
      </c>
      <c r="O70" s="142">
        <v>4842804.9000000004</v>
      </c>
      <c r="P70" s="142">
        <v>28957013.43</v>
      </c>
      <c r="Q70" s="142">
        <v>582308.16</v>
      </c>
      <c r="R70" s="142">
        <v>0</v>
      </c>
      <c r="S70" s="142">
        <f t="shared" si="3"/>
        <v>112483921.31999999</v>
      </c>
    </row>
    <row r="71" spans="1:19" s="64" customFormat="1" ht="14.25" customHeight="1" outlineLevel="2">
      <c r="A71" s="67">
        <v>560</v>
      </c>
      <c r="B71" s="68" t="s">
        <v>26</v>
      </c>
      <c r="C71" s="68" t="s">
        <v>153</v>
      </c>
      <c r="D71" s="68" t="s">
        <v>154</v>
      </c>
      <c r="E71" s="68" t="s">
        <v>163</v>
      </c>
      <c r="F71" s="68" t="s">
        <v>164</v>
      </c>
      <c r="G71" s="69">
        <v>39521</v>
      </c>
      <c r="H71" s="142">
        <v>1261.45</v>
      </c>
      <c r="I71" s="142">
        <v>145.46</v>
      </c>
      <c r="J71" s="132">
        <v>3996.7566000000002</v>
      </c>
      <c r="K71" s="132">
        <v>116.1169</v>
      </c>
      <c r="L71" s="132">
        <v>0</v>
      </c>
      <c r="M71" s="142">
        <v>49853765.450000003</v>
      </c>
      <c r="N71" s="142">
        <v>5748724.6600000001</v>
      </c>
      <c r="O71" s="142">
        <v>4409867.01</v>
      </c>
      <c r="P71" s="142">
        <v>33372917.609999999</v>
      </c>
      <c r="Q71" s="142">
        <v>1114722.24</v>
      </c>
      <c r="R71" s="142">
        <v>0</v>
      </c>
      <c r="S71" s="142">
        <f t="shared" si="3"/>
        <v>94499996.969999999</v>
      </c>
    </row>
    <row r="72" spans="1:19" s="64" customFormat="1" ht="14.25" customHeight="1" outlineLevel="2">
      <c r="A72" s="67">
        <v>561</v>
      </c>
      <c r="B72" s="68" t="s">
        <v>26</v>
      </c>
      <c r="C72" s="68" t="s">
        <v>153</v>
      </c>
      <c r="D72" s="68" t="s">
        <v>154</v>
      </c>
      <c r="E72" s="68" t="s">
        <v>165</v>
      </c>
      <c r="F72" s="68" t="s">
        <v>166</v>
      </c>
      <c r="G72" s="69">
        <v>37339</v>
      </c>
      <c r="H72" s="142">
        <v>1261.45</v>
      </c>
      <c r="I72" s="142">
        <v>145.46</v>
      </c>
      <c r="J72" s="132">
        <v>1312.8268</v>
      </c>
      <c r="K72" s="132">
        <v>20.333600000000001</v>
      </c>
      <c r="L72" s="132">
        <v>0</v>
      </c>
      <c r="M72" s="142">
        <v>47101281.549999997</v>
      </c>
      <c r="N72" s="142">
        <v>5431330.9400000004</v>
      </c>
      <c r="O72" s="142">
        <v>3475132.99</v>
      </c>
      <c r="P72" s="142">
        <v>10962103.779999999</v>
      </c>
      <c r="Q72" s="142">
        <v>195202.56</v>
      </c>
      <c r="R72" s="142">
        <v>0</v>
      </c>
      <c r="S72" s="142">
        <f t="shared" si="3"/>
        <v>67165051.819999993</v>
      </c>
    </row>
    <row r="73" spans="1:19" s="64" customFormat="1" ht="14.25" customHeight="1" outlineLevel="2">
      <c r="A73" s="67">
        <v>562</v>
      </c>
      <c r="B73" s="68" t="s">
        <v>26</v>
      </c>
      <c r="C73" s="68" t="s">
        <v>153</v>
      </c>
      <c r="D73" s="68" t="s">
        <v>154</v>
      </c>
      <c r="E73" s="68" t="s">
        <v>167</v>
      </c>
      <c r="F73" s="68" t="s">
        <v>168</v>
      </c>
      <c r="G73" s="69">
        <v>10627</v>
      </c>
      <c r="H73" s="142">
        <v>1261.45</v>
      </c>
      <c r="I73" s="142">
        <v>145.46</v>
      </c>
      <c r="J73" s="132">
        <v>416.00130000000001</v>
      </c>
      <c r="K73" s="132">
        <v>6.5098000000000003</v>
      </c>
      <c r="L73" s="132">
        <v>0</v>
      </c>
      <c r="M73" s="142">
        <v>13405429.15</v>
      </c>
      <c r="N73" s="142">
        <v>1545803.42</v>
      </c>
      <c r="O73" s="142">
        <v>947096.66</v>
      </c>
      <c r="P73" s="142">
        <v>3473610.86</v>
      </c>
      <c r="Q73" s="142">
        <v>62494.080000000002</v>
      </c>
      <c r="R73" s="142">
        <v>0</v>
      </c>
      <c r="S73" s="142">
        <f t="shared" si="3"/>
        <v>19434434.170000002</v>
      </c>
    </row>
    <row r="74" spans="1:19" s="64" customFormat="1" ht="14.25" customHeight="1" outlineLevel="2">
      <c r="A74" s="67">
        <v>563</v>
      </c>
      <c r="B74" s="68" t="s">
        <v>26</v>
      </c>
      <c r="C74" s="68" t="s">
        <v>153</v>
      </c>
      <c r="D74" s="68" t="s">
        <v>154</v>
      </c>
      <c r="E74" s="68" t="s">
        <v>169</v>
      </c>
      <c r="F74" s="68" t="s">
        <v>170</v>
      </c>
      <c r="G74" s="69">
        <v>92525</v>
      </c>
      <c r="H74" s="142">
        <v>1261.45</v>
      </c>
      <c r="I74" s="142">
        <v>145.46</v>
      </c>
      <c r="J74" s="132">
        <v>10181.222100000001</v>
      </c>
      <c r="K74" s="132">
        <v>190.64879999999999</v>
      </c>
      <c r="L74" s="132">
        <v>236.4572</v>
      </c>
      <c r="M74" s="142">
        <v>116715661.25</v>
      </c>
      <c r="N74" s="142">
        <v>13458686.5</v>
      </c>
      <c r="O74" s="142">
        <v>11077448.210000001</v>
      </c>
      <c r="P74" s="142">
        <v>85013204.540000007</v>
      </c>
      <c r="Q74" s="142">
        <v>1830228.48</v>
      </c>
      <c r="R74" s="142">
        <v>2128114.7999999998</v>
      </c>
      <c r="S74" s="142">
        <f t="shared" si="3"/>
        <v>230223343.78</v>
      </c>
    </row>
    <row r="75" spans="1:19" s="64" customFormat="1" ht="14.25" customHeight="1" outlineLevel="2">
      <c r="A75" s="67">
        <v>564</v>
      </c>
      <c r="B75" s="68" t="s">
        <v>26</v>
      </c>
      <c r="C75" s="68" t="s">
        <v>153</v>
      </c>
      <c r="D75" s="68" t="s">
        <v>154</v>
      </c>
      <c r="E75" s="68" t="s">
        <v>171</v>
      </c>
      <c r="F75" s="68" t="s">
        <v>172</v>
      </c>
      <c r="G75" s="69">
        <v>30686</v>
      </c>
      <c r="H75" s="142">
        <v>1261.45</v>
      </c>
      <c r="I75" s="142">
        <v>145.46</v>
      </c>
      <c r="J75" s="132">
        <v>1576.0279</v>
      </c>
      <c r="K75" s="132">
        <v>31.1203</v>
      </c>
      <c r="L75" s="132">
        <v>0</v>
      </c>
      <c r="M75" s="142">
        <v>38708854.700000003</v>
      </c>
      <c r="N75" s="142">
        <v>4463585.5599999996</v>
      </c>
      <c r="O75" s="142">
        <v>3377715.82</v>
      </c>
      <c r="P75" s="142">
        <v>13159832.970000001</v>
      </c>
      <c r="Q75" s="142">
        <v>298754.88</v>
      </c>
      <c r="R75" s="142">
        <v>0</v>
      </c>
      <c r="S75" s="142">
        <f t="shared" si="3"/>
        <v>60008743.93</v>
      </c>
    </row>
    <row r="76" spans="1:19" s="64" customFormat="1" ht="14.25" customHeight="1" outlineLevel="2">
      <c r="A76" s="67">
        <v>565</v>
      </c>
      <c r="B76" s="68" t="s">
        <v>26</v>
      </c>
      <c r="C76" s="68" t="s">
        <v>153</v>
      </c>
      <c r="D76" s="68" t="s">
        <v>154</v>
      </c>
      <c r="E76" s="68" t="s">
        <v>173</v>
      </c>
      <c r="F76" s="68" t="s">
        <v>174</v>
      </c>
      <c r="G76" s="69">
        <v>53059</v>
      </c>
      <c r="H76" s="142">
        <v>1261.45</v>
      </c>
      <c r="I76" s="142">
        <v>145.46</v>
      </c>
      <c r="J76" s="132">
        <v>2978.4609</v>
      </c>
      <c r="K76" s="132">
        <v>78.653800000000004</v>
      </c>
      <c r="L76" s="132">
        <v>0</v>
      </c>
      <c r="M76" s="142">
        <v>66931275.549999997</v>
      </c>
      <c r="N76" s="142">
        <v>7717962.1399999997</v>
      </c>
      <c r="O76" s="142">
        <v>5381171.1100000003</v>
      </c>
      <c r="P76" s="142">
        <v>24870148.52</v>
      </c>
      <c r="Q76" s="142">
        <v>755076.48</v>
      </c>
      <c r="R76" s="142">
        <v>0</v>
      </c>
      <c r="S76" s="142">
        <f t="shared" si="3"/>
        <v>105655633.8</v>
      </c>
    </row>
    <row r="77" spans="1:19" s="64" customFormat="1" ht="14.25" customHeight="1" outlineLevel="2">
      <c r="A77" s="67">
        <v>566</v>
      </c>
      <c r="B77" s="68" t="s">
        <v>26</v>
      </c>
      <c r="C77" s="68" t="s">
        <v>153</v>
      </c>
      <c r="D77" s="68" t="s">
        <v>154</v>
      </c>
      <c r="E77" s="68" t="s">
        <v>175</v>
      </c>
      <c r="F77" s="68" t="s">
        <v>176</v>
      </c>
      <c r="G77" s="69">
        <v>53459</v>
      </c>
      <c r="H77" s="142">
        <v>1261.45</v>
      </c>
      <c r="I77" s="142">
        <v>145.46</v>
      </c>
      <c r="J77" s="132">
        <v>4128.3132999999998</v>
      </c>
      <c r="K77" s="132">
        <v>50.147500000000001</v>
      </c>
      <c r="L77" s="132">
        <v>0</v>
      </c>
      <c r="M77" s="142">
        <v>67435855.549999997</v>
      </c>
      <c r="N77" s="142">
        <v>7776146.1399999997</v>
      </c>
      <c r="O77" s="142">
        <v>5632787.5999999996</v>
      </c>
      <c r="P77" s="142">
        <v>34471416.060000002</v>
      </c>
      <c r="Q77" s="142">
        <v>481416</v>
      </c>
      <c r="R77" s="142">
        <v>0</v>
      </c>
      <c r="S77" s="142">
        <f t="shared" si="3"/>
        <v>115797621.34999999</v>
      </c>
    </row>
    <row r="78" spans="1:19" s="64" customFormat="1" ht="14.25" customHeight="1" outlineLevel="2">
      <c r="A78" s="67">
        <v>567</v>
      </c>
      <c r="B78" s="68" t="s">
        <v>26</v>
      </c>
      <c r="C78" s="68" t="s">
        <v>153</v>
      </c>
      <c r="D78" s="68" t="s">
        <v>154</v>
      </c>
      <c r="E78" s="68" t="s">
        <v>177</v>
      </c>
      <c r="F78" s="68" t="s">
        <v>178</v>
      </c>
      <c r="G78" s="69">
        <v>26548</v>
      </c>
      <c r="H78" s="142">
        <v>1261.45</v>
      </c>
      <c r="I78" s="142">
        <v>145.46</v>
      </c>
      <c r="J78" s="132">
        <v>1494.0741</v>
      </c>
      <c r="K78" s="132">
        <v>23.474</v>
      </c>
      <c r="L78" s="132">
        <v>0</v>
      </c>
      <c r="M78" s="142">
        <v>33488974.600000001</v>
      </c>
      <c r="N78" s="142">
        <v>3861672.08</v>
      </c>
      <c r="O78" s="142">
        <v>2409520.81</v>
      </c>
      <c r="P78" s="142">
        <v>12475518.74</v>
      </c>
      <c r="Q78" s="142">
        <v>225350.39999999999</v>
      </c>
      <c r="R78" s="142">
        <v>0</v>
      </c>
      <c r="S78" s="142">
        <f t="shared" si="3"/>
        <v>52461036.630000003</v>
      </c>
    </row>
    <row r="79" spans="1:19" s="64" customFormat="1" ht="14.25" customHeight="1" outlineLevel="2">
      <c r="A79" s="67">
        <v>568</v>
      </c>
      <c r="B79" s="68" t="s">
        <v>26</v>
      </c>
      <c r="C79" s="68" t="s">
        <v>153</v>
      </c>
      <c r="D79" s="68" t="s">
        <v>154</v>
      </c>
      <c r="E79" s="68" t="s">
        <v>179</v>
      </c>
      <c r="F79" s="68" t="s">
        <v>180</v>
      </c>
      <c r="G79" s="69">
        <v>17941</v>
      </c>
      <c r="H79" s="142">
        <v>1261.45</v>
      </c>
      <c r="I79" s="142">
        <v>145.46</v>
      </c>
      <c r="J79" s="132">
        <v>1129.8635999999999</v>
      </c>
      <c r="K79" s="132">
        <v>58.882899999999999</v>
      </c>
      <c r="L79" s="132">
        <v>0</v>
      </c>
      <c r="M79" s="142">
        <v>22631674.449999999</v>
      </c>
      <c r="N79" s="142">
        <v>2609697.86</v>
      </c>
      <c r="O79" s="142">
        <v>2507975.7000000002</v>
      </c>
      <c r="P79" s="142">
        <v>9434361.0600000005</v>
      </c>
      <c r="Q79" s="142">
        <v>565275.84</v>
      </c>
      <c r="R79" s="142">
        <v>0</v>
      </c>
      <c r="S79" s="142">
        <f t="shared" si="3"/>
        <v>37748984.909999996</v>
      </c>
    </row>
    <row r="80" spans="1:19" s="64" customFormat="1" ht="14.25" customHeight="1" outlineLevel="2">
      <c r="A80" s="67">
        <v>569</v>
      </c>
      <c r="B80" s="68" t="s">
        <v>26</v>
      </c>
      <c r="C80" s="68" t="s">
        <v>153</v>
      </c>
      <c r="D80" s="68" t="s">
        <v>154</v>
      </c>
      <c r="E80" s="68" t="s">
        <v>181</v>
      </c>
      <c r="F80" s="68" t="s">
        <v>182</v>
      </c>
      <c r="G80" s="69">
        <v>24830</v>
      </c>
      <c r="H80" s="142">
        <v>1261.45</v>
      </c>
      <c r="I80" s="142">
        <v>145.46</v>
      </c>
      <c r="J80" s="132">
        <v>1659.4283</v>
      </c>
      <c r="K80" s="132">
        <v>32.650300000000001</v>
      </c>
      <c r="L80" s="132">
        <v>0</v>
      </c>
      <c r="M80" s="142">
        <v>31321803.5</v>
      </c>
      <c r="N80" s="142">
        <v>3611771.8</v>
      </c>
      <c r="O80" s="142">
        <v>2764952.75</v>
      </c>
      <c r="P80" s="142">
        <v>13856226.310000001</v>
      </c>
      <c r="Q80" s="142">
        <v>313442.88</v>
      </c>
      <c r="R80" s="142">
        <v>0</v>
      </c>
      <c r="S80" s="142">
        <f t="shared" si="3"/>
        <v>51868197.240000002</v>
      </c>
    </row>
    <row r="81" spans="1:19" s="64" customFormat="1" ht="14.25" customHeight="1" outlineLevel="2">
      <c r="A81" s="67">
        <v>570</v>
      </c>
      <c r="B81" s="68" t="s">
        <v>26</v>
      </c>
      <c r="C81" s="68" t="s">
        <v>153</v>
      </c>
      <c r="D81" s="68" t="s">
        <v>154</v>
      </c>
      <c r="E81" s="68" t="s">
        <v>183</v>
      </c>
      <c r="F81" s="68" t="s">
        <v>184</v>
      </c>
      <c r="G81" s="69">
        <v>33198</v>
      </c>
      <c r="H81" s="142">
        <v>1261.45</v>
      </c>
      <c r="I81" s="142">
        <v>145.46</v>
      </c>
      <c r="J81" s="132">
        <v>1213.3333</v>
      </c>
      <c r="K81" s="132">
        <v>24.559200000000001</v>
      </c>
      <c r="L81" s="132">
        <v>0</v>
      </c>
      <c r="M81" s="142">
        <v>41877617.100000001</v>
      </c>
      <c r="N81" s="142">
        <v>4828981.08</v>
      </c>
      <c r="O81" s="142">
        <v>3568917.09</v>
      </c>
      <c r="P81" s="142">
        <v>10131333.060000001</v>
      </c>
      <c r="Q81" s="142">
        <v>235768.32000000001</v>
      </c>
      <c r="R81" s="142">
        <v>0</v>
      </c>
      <c r="S81" s="142">
        <f t="shared" si="3"/>
        <v>60642616.649999999</v>
      </c>
    </row>
    <row r="82" spans="1:19" s="64" customFormat="1" ht="14.25" customHeight="1" outlineLevel="2">
      <c r="A82" s="67">
        <v>571</v>
      </c>
      <c r="B82" s="68" t="s">
        <v>26</v>
      </c>
      <c r="C82" s="68" t="s">
        <v>153</v>
      </c>
      <c r="D82" s="68" t="s">
        <v>154</v>
      </c>
      <c r="E82" s="68" t="s">
        <v>185</v>
      </c>
      <c r="F82" s="68" t="s">
        <v>186</v>
      </c>
      <c r="G82" s="69">
        <v>28207</v>
      </c>
      <c r="H82" s="142">
        <v>1261.45</v>
      </c>
      <c r="I82" s="142">
        <v>145.46</v>
      </c>
      <c r="J82" s="132">
        <v>1427.8164999999999</v>
      </c>
      <c r="K82" s="132">
        <v>17.187799999999999</v>
      </c>
      <c r="L82" s="132">
        <v>1.9117999999999999</v>
      </c>
      <c r="M82" s="142">
        <v>35581720.149999999</v>
      </c>
      <c r="N82" s="142">
        <v>4102990.22</v>
      </c>
      <c r="O82" s="142">
        <v>2981659.12</v>
      </c>
      <c r="P82" s="142">
        <v>11922267.779999999</v>
      </c>
      <c r="Q82" s="142">
        <v>165002.88</v>
      </c>
      <c r="R82" s="142">
        <v>17206.2</v>
      </c>
      <c r="S82" s="142">
        <f t="shared" si="3"/>
        <v>54770846.350000001</v>
      </c>
    </row>
    <row r="83" spans="1:19" s="64" customFormat="1" ht="14.25" customHeight="1" outlineLevel="2">
      <c r="A83" s="67">
        <v>572</v>
      </c>
      <c r="B83" s="68" t="s">
        <v>26</v>
      </c>
      <c r="C83" s="68" t="s">
        <v>153</v>
      </c>
      <c r="D83" s="68" t="s">
        <v>154</v>
      </c>
      <c r="E83" s="68" t="s">
        <v>187</v>
      </c>
      <c r="F83" s="68" t="s">
        <v>188</v>
      </c>
      <c r="G83" s="69">
        <v>114215</v>
      </c>
      <c r="H83" s="142">
        <v>1261.45</v>
      </c>
      <c r="I83" s="142">
        <v>145.46</v>
      </c>
      <c r="J83" s="132">
        <v>12707.294400000001</v>
      </c>
      <c r="K83" s="132">
        <v>266.36020000000002</v>
      </c>
      <c r="L83" s="132">
        <v>277.48110000000003</v>
      </c>
      <c r="M83" s="142">
        <v>144076511.75</v>
      </c>
      <c r="N83" s="142">
        <v>16613713.9</v>
      </c>
      <c r="O83" s="142">
        <v>16903760.190000001</v>
      </c>
      <c r="P83" s="142">
        <v>106105908.23999999</v>
      </c>
      <c r="Q83" s="142">
        <v>2557057.92</v>
      </c>
      <c r="R83" s="142">
        <v>2497329.9</v>
      </c>
      <c r="S83" s="142">
        <f t="shared" si="3"/>
        <v>288754281.89999998</v>
      </c>
    </row>
    <row r="84" spans="1:19" s="64" customFormat="1" ht="14.25" customHeight="1" outlineLevel="2">
      <c r="A84" s="67">
        <v>573</v>
      </c>
      <c r="B84" s="68" t="s">
        <v>26</v>
      </c>
      <c r="C84" s="68" t="s">
        <v>153</v>
      </c>
      <c r="D84" s="68" t="s">
        <v>154</v>
      </c>
      <c r="E84" s="68" t="s">
        <v>189</v>
      </c>
      <c r="F84" s="68" t="s">
        <v>190</v>
      </c>
      <c r="G84" s="69">
        <v>28522</v>
      </c>
      <c r="H84" s="142">
        <v>1261.45</v>
      </c>
      <c r="I84" s="142">
        <v>145.46</v>
      </c>
      <c r="J84" s="132">
        <v>907.36059999999998</v>
      </c>
      <c r="K84" s="132">
        <v>28.359000000000002</v>
      </c>
      <c r="L84" s="132">
        <v>0</v>
      </c>
      <c r="M84" s="142">
        <v>35979076.899999999</v>
      </c>
      <c r="N84" s="142">
        <v>4148810.12</v>
      </c>
      <c r="O84" s="142">
        <v>3575732.92</v>
      </c>
      <c r="P84" s="142">
        <v>7576461.0099999998</v>
      </c>
      <c r="Q84" s="142">
        <v>272246.40000000002</v>
      </c>
      <c r="R84" s="142">
        <v>0</v>
      </c>
      <c r="S84" s="142">
        <f t="shared" si="3"/>
        <v>51552327.350000001</v>
      </c>
    </row>
    <row r="85" spans="1:19" s="64" customFormat="1" ht="14.25" customHeight="1" outlineLevel="1">
      <c r="A85" s="143"/>
      <c r="B85" s="144"/>
      <c r="C85" s="144"/>
      <c r="D85" s="145" t="s">
        <v>284</v>
      </c>
      <c r="E85" s="144"/>
      <c r="F85" s="144"/>
      <c r="G85" s="146">
        <f>SUBTOTAL(9,G67:G84)</f>
        <v>850320</v>
      </c>
      <c r="H85" s="147"/>
      <c r="I85" s="147"/>
      <c r="J85" s="151">
        <f t="shared" ref="J85:S85" si="7">SUBTOTAL(9,J67:J84)</f>
        <v>116713.70759999998</v>
      </c>
      <c r="K85" s="151">
        <f t="shared" si="7"/>
        <v>2751.2419000000004</v>
      </c>
      <c r="L85" s="151">
        <f t="shared" si="7"/>
        <v>3805.1668999999997</v>
      </c>
      <c r="M85" s="147">
        <f t="shared" si="7"/>
        <v>1072636164</v>
      </c>
      <c r="N85" s="147">
        <f t="shared" si="7"/>
        <v>123687547.2</v>
      </c>
      <c r="O85" s="147">
        <f t="shared" si="7"/>
        <v>94186130.830000013</v>
      </c>
      <c r="P85" s="147">
        <f t="shared" si="7"/>
        <v>974559458.50999975</v>
      </c>
      <c r="Q85" s="147">
        <f t="shared" si="7"/>
        <v>26411922.239999987</v>
      </c>
      <c r="R85" s="147">
        <f t="shared" si="7"/>
        <v>34246502.100000001</v>
      </c>
      <c r="S85" s="147">
        <f t="shared" si="7"/>
        <v>2325727724.8800001</v>
      </c>
    </row>
    <row r="86" spans="1:19" s="64" customFormat="1" ht="14.25" customHeight="1" outlineLevel="2">
      <c r="A86" s="67">
        <v>574</v>
      </c>
      <c r="B86" s="68" t="s">
        <v>26</v>
      </c>
      <c r="C86" s="68" t="s">
        <v>191</v>
      </c>
      <c r="D86" s="68" t="s">
        <v>192</v>
      </c>
      <c r="E86" s="68" t="s">
        <v>193</v>
      </c>
      <c r="F86" s="68" t="s">
        <v>194</v>
      </c>
      <c r="G86" s="69">
        <v>109113</v>
      </c>
      <c r="H86" s="142">
        <v>1264.47</v>
      </c>
      <c r="I86" s="142">
        <v>145.25</v>
      </c>
      <c r="J86" s="132">
        <v>25516.167799999999</v>
      </c>
      <c r="K86" s="132">
        <v>671.09690000000001</v>
      </c>
      <c r="L86" s="132">
        <v>714.05830000000003</v>
      </c>
      <c r="M86" s="142">
        <v>137970115.11000001</v>
      </c>
      <c r="N86" s="142">
        <v>15848663.25</v>
      </c>
      <c r="O86" s="142">
        <v>11864671.83</v>
      </c>
      <c r="P86" s="142">
        <v>213060001.13</v>
      </c>
      <c r="Q86" s="142">
        <v>6442530.2400000002</v>
      </c>
      <c r="R86" s="142">
        <v>6426524.7000000002</v>
      </c>
      <c r="S86" s="142">
        <f t="shared" si="3"/>
        <v>391612506.25999999</v>
      </c>
    </row>
    <row r="87" spans="1:19" s="64" customFormat="1" ht="14.25" customHeight="1" outlineLevel="2">
      <c r="A87" s="67">
        <v>575</v>
      </c>
      <c r="B87" s="68" t="s">
        <v>26</v>
      </c>
      <c r="C87" s="68" t="s">
        <v>191</v>
      </c>
      <c r="D87" s="68" t="s">
        <v>192</v>
      </c>
      <c r="E87" s="68" t="s">
        <v>195</v>
      </c>
      <c r="F87" s="68" t="s">
        <v>196</v>
      </c>
      <c r="G87" s="69">
        <v>40027</v>
      </c>
      <c r="H87" s="142">
        <v>1264.47</v>
      </c>
      <c r="I87" s="142">
        <v>145.25</v>
      </c>
      <c r="J87" s="132">
        <v>924.58839999999998</v>
      </c>
      <c r="K87" s="132">
        <v>14.5588</v>
      </c>
      <c r="L87" s="132">
        <v>0</v>
      </c>
      <c r="M87" s="142">
        <v>50612940.689999998</v>
      </c>
      <c r="N87" s="142">
        <v>5813921.75</v>
      </c>
      <c r="O87" s="142">
        <v>4732359.8899999997</v>
      </c>
      <c r="P87" s="142">
        <v>7720313.1399999997</v>
      </c>
      <c r="Q87" s="142">
        <v>139764.48000000001</v>
      </c>
      <c r="R87" s="142">
        <v>0</v>
      </c>
      <c r="S87" s="142">
        <f t="shared" si="3"/>
        <v>69019299.950000003</v>
      </c>
    </row>
    <row r="88" spans="1:19" s="64" customFormat="1" ht="14.25" customHeight="1" outlineLevel="2">
      <c r="A88" s="67">
        <v>576</v>
      </c>
      <c r="B88" s="68" t="s">
        <v>26</v>
      </c>
      <c r="C88" s="68" t="s">
        <v>191</v>
      </c>
      <c r="D88" s="68" t="s">
        <v>192</v>
      </c>
      <c r="E88" s="68" t="s">
        <v>197</v>
      </c>
      <c r="F88" s="68" t="s">
        <v>198</v>
      </c>
      <c r="G88" s="69">
        <v>44722</v>
      </c>
      <c r="H88" s="142">
        <v>1264.47</v>
      </c>
      <c r="I88" s="142">
        <v>145.25</v>
      </c>
      <c r="J88" s="132">
        <v>1245.3439000000001</v>
      </c>
      <c r="K88" s="132">
        <v>28.5381</v>
      </c>
      <c r="L88" s="132">
        <v>0</v>
      </c>
      <c r="M88" s="142">
        <v>56549627.340000004</v>
      </c>
      <c r="N88" s="142">
        <v>6495870.5</v>
      </c>
      <c r="O88" s="142">
        <v>5568385.2199999997</v>
      </c>
      <c r="P88" s="142">
        <v>10398621.57</v>
      </c>
      <c r="Q88" s="142">
        <v>273965.76</v>
      </c>
      <c r="R88" s="142">
        <v>0</v>
      </c>
      <c r="S88" s="142">
        <f t="shared" si="3"/>
        <v>79286470.390000001</v>
      </c>
    </row>
    <row r="89" spans="1:19" s="64" customFormat="1" ht="14.25" customHeight="1" outlineLevel="2">
      <c r="A89" s="67">
        <v>577</v>
      </c>
      <c r="B89" s="68" t="s">
        <v>26</v>
      </c>
      <c r="C89" s="68" t="s">
        <v>191</v>
      </c>
      <c r="D89" s="68" t="s">
        <v>192</v>
      </c>
      <c r="E89" s="68" t="s">
        <v>199</v>
      </c>
      <c r="F89" s="68" t="s">
        <v>200</v>
      </c>
      <c r="G89" s="69">
        <v>27134</v>
      </c>
      <c r="H89" s="142">
        <v>1264.47</v>
      </c>
      <c r="I89" s="142">
        <v>145.25</v>
      </c>
      <c r="J89" s="132">
        <v>1291.7336</v>
      </c>
      <c r="K89" s="132">
        <v>36.531300000000002</v>
      </c>
      <c r="L89" s="132">
        <v>0</v>
      </c>
      <c r="M89" s="142">
        <v>34310128.979999997</v>
      </c>
      <c r="N89" s="142">
        <v>3941213.5</v>
      </c>
      <c r="O89" s="142">
        <v>3388142.19</v>
      </c>
      <c r="P89" s="142">
        <v>10785975.560000001</v>
      </c>
      <c r="Q89" s="142">
        <v>350700.48</v>
      </c>
      <c r="R89" s="142">
        <v>0</v>
      </c>
      <c r="S89" s="142">
        <f t="shared" si="3"/>
        <v>52776160.710000001</v>
      </c>
    </row>
    <row r="90" spans="1:19" s="64" customFormat="1" ht="14.25" customHeight="1" outlineLevel="2">
      <c r="A90" s="67">
        <v>578</v>
      </c>
      <c r="B90" s="68" t="s">
        <v>26</v>
      </c>
      <c r="C90" s="68" t="s">
        <v>191</v>
      </c>
      <c r="D90" s="68" t="s">
        <v>192</v>
      </c>
      <c r="E90" s="68" t="s">
        <v>201</v>
      </c>
      <c r="F90" s="68" t="s">
        <v>202</v>
      </c>
      <c r="G90" s="69">
        <v>17744</v>
      </c>
      <c r="H90" s="142">
        <v>1264.47</v>
      </c>
      <c r="I90" s="142">
        <v>145.25</v>
      </c>
      <c r="J90" s="132">
        <v>848.11040000000003</v>
      </c>
      <c r="K90" s="132">
        <v>8.4916999999999998</v>
      </c>
      <c r="L90" s="132">
        <v>0</v>
      </c>
      <c r="M90" s="142">
        <v>22436755.68</v>
      </c>
      <c r="N90" s="142">
        <v>2577316</v>
      </c>
      <c r="O90" s="142">
        <v>2262092.2799999998</v>
      </c>
      <c r="P90" s="142">
        <v>7081721.8399999999</v>
      </c>
      <c r="Q90" s="142">
        <v>81520.320000000007</v>
      </c>
      <c r="R90" s="142">
        <v>0</v>
      </c>
      <c r="S90" s="142">
        <f t="shared" si="3"/>
        <v>34439406.119999997</v>
      </c>
    </row>
    <row r="91" spans="1:19" s="64" customFormat="1" ht="14.25" customHeight="1" outlineLevel="2">
      <c r="A91" s="67">
        <v>579</v>
      </c>
      <c r="B91" s="68" t="s">
        <v>26</v>
      </c>
      <c r="C91" s="68" t="s">
        <v>191</v>
      </c>
      <c r="D91" s="68" t="s">
        <v>192</v>
      </c>
      <c r="E91" s="68" t="s">
        <v>203</v>
      </c>
      <c r="F91" s="68" t="s">
        <v>204</v>
      </c>
      <c r="G91" s="69">
        <v>32932</v>
      </c>
      <c r="H91" s="142">
        <v>1264.47</v>
      </c>
      <c r="I91" s="142">
        <v>145.25</v>
      </c>
      <c r="J91" s="132">
        <v>1584.6184000000001</v>
      </c>
      <c r="K91" s="132">
        <v>27.335699999999999</v>
      </c>
      <c r="L91" s="132">
        <v>0</v>
      </c>
      <c r="M91" s="142">
        <v>41641526.039999999</v>
      </c>
      <c r="N91" s="142">
        <v>4783373</v>
      </c>
      <c r="O91" s="142">
        <v>4089799.58</v>
      </c>
      <c r="P91" s="142">
        <v>13231563.640000001</v>
      </c>
      <c r="Q91" s="142">
        <v>262422.71999999997</v>
      </c>
      <c r="R91" s="142">
        <v>0</v>
      </c>
      <c r="S91" s="142">
        <f t="shared" si="3"/>
        <v>64008684.979999997</v>
      </c>
    </row>
    <row r="92" spans="1:19" s="64" customFormat="1" ht="14.25" customHeight="1" outlineLevel="2">
      <c r="A92" s="67">
        <v>580</v>
      </c>
      <c r="B92" s="68" t="s">
        <v>26</v>
      </c>
      <c r="C92" s="68" t="s">
        <v>191</v>
      </c>
      <c r="D92" s="68" t="s">
        <v>192</v>
      </c>
      <c r="E92" s="68" t="s">
        <v>205</v>
      </c>
      <c r="F92" s="68" t="s">
        <v>206</v>
      </c>
      <c r="G92" s="69">
        <v>55055</v>
      </c>
      <c r="H92" s="142">
        <v>1264.47</v>
      </c>
      <c r="I92" s="142">
        <v>145.25</v>
      </c>
      <c r="J92" s="132">
        <v>1882.6287</v>
      </c>
      <c r="K92" s="132">
        <v>43.42</v>
      </c>
      <c r="L92" s="132">
        <v>0</v>
      </c>
      <c r="M92" s="142">
        <v>69615395.849999994</v>
      </c>
      <c r="N92" s="142">
        <v>7996738.75</v>
      </c>
      <c r="O92" s="142">
        <v>6686272.5199999996</v>
      </c>
      <c r="P92" s="142">
        <v>15719949.65</v>
      </c>
      <c r="Q92" s="142">
        <v>416832</v>
      </c>
      <c r="R92" s="142">
        <v>0</v>
      </c>
      <c r="S92" s="142">
        <f t="shared" si="3"/>
        <v>100435188.77</v>
      </c>
    </row>
    <row r="93" spans="1:19" s="64" customFormat="1" ht="14.25" customHeight="1" outlineLevel="2">
      <c r="A93" s="67">
        <v>581</v>
      </c>
      <c r="B93" s="68" t="s">
        <v>26</v>
      </c>
      <c r="C93" s="68" t="s">
        <v>191</v>
      </c>
      <c r="D93" s="68" t="s">
        <v>192</v>
      </c>
      <c r="E93" s="68" t="s">
        <v>207</v>
      </c>
      <c r="F93" s="68" t="s">
        <v>208</v>
      </c>
      <c r="G93" s="69">
        <v>53472</v>
      </c>
      <c r="H93" s="142">
        <v>1264.47</v>
      </c>
      <c r="I93" s="142">
        <v>145.25</v>
      </c>
      <c r="J93" s="132">
        <v>3523.2865999999999</v>
      </c>
      <c r="K93" s="132">
        <v>50.103400000000001</v>
      </c>
      <c r="L93" s="132">
        <v>18.575600000000001</v>
      </c>
      <c r="M93" s="142">
        <v>67613739.840000004</v>
      </c>
      <c r="N93" s="142">
        <v>7766808</v>
      </c>
      <c r="O93" s="142">
        <v>6545322.0899999999</v>
      </c>
      <c r="P93" s="142">
        <v>29419443.109999999</v>
      </c>
      <c r="Q93" s="142">
        <v>480992.64</v>
      </c>
      <c r="R93" s="142">
        <v>167180.4</v>
      </c>
      <c r="S93" s="142">
        <f t="shared" si="3"/>
        <v>111993486.08</v>
      </c>
    </row>
    <row r="94" spans="1:19" s="64" customFormat="1" ht="14.25" customHeight="1" outlineLevel="2">
      <c r="A94" s="67">
        <v>582</v>
      </c>
      <c r="B94" s="68" t="s">
        <v>26</v>
      </c>
      <c r="C94" s="68" t="s">
        <v>191</v>
      </c>
      <c r="D94" s="68" t="s">
        <v>192</v>
      </c>
      <c r="E94" s="68" t="s">
        <v>209</v>
      </c>
      <c r="F94" s="68" t="s">
        <v>210</v>
      </c>
      <c r="G94" s="69">
        <v>37939</v>
      </c>
      <c r="H94" s="142">
        <v>1264.47</v>
      </c>
      <c r="I94" s="142">
        <v>145.25</v>
      </c>
      <c r="J94" s="132">
        <v>1252.1901</v>
      </c>
      <c r="K94" s="132">
        <v>23.865400000000001</v>
      </c>
      <c r="L94" s="132">
        <v>0</v>
      </c>
      <c r="M94" s="142">
        <v>47972727.329999998</v>
      </c>
      <c r="N94" s="142">
        <v>5510639.75</v>
      </c>
      <c r="O94" s="142">
        <v>4953577.4000000004</v>
      </c>
      <c r="P94" s="142">
        <v>10455787.34</v>
      </c>
      <c r="Q94" s="142">
        <v>229107.84</v>
      </c>
      <c r="R94" s="142">
        <v>0</v>
      </c>
      <c r="S94" s="142">
        <f t="shared" si="3"/>
        <v>69121839.659999996</v>
      </c>
    </row>
    <row r="95" spans="1:19" s="64" customFormat="1" ht="14.25" customHeight="1" outlineLevel="2">
      <c r="A95" s="67">
        <v>583</v>
      </c>
      <c r="B95" s="68" t="s">
        <v>26</v>
      </c>
      <c r="C95" s="68" t="s">
        <v>191</v>
      </c>
      <c r="D95" s="68" t="s">
        <v>192</v>
      </c>
      <c r="E95" s="68" t="s">
        <v>211</v>
      </c>
      <c r="F95" s="68" t="s">
        <v>212</v>
      </c>
      <c r="G95" s="69">
        <v>43480</v>
      </c>
      <c r="H95" s="142">
        <v>1264.47</v>
      </c>
      <c r="I95" s="142">
        <v>145.25</v>
      </c>
      <c r="J95" s="132">
        <v>1714.7805000000001</v>
      </c>
      <c r="K95" s="132">
        <v>23.7532</v>
      </c>
      <c r="L95" s="132">
        <v>0</v>
      </c>
      <c r="M95" s="142">
        <v>54979155.600000001</v>
      </c>
      <c r="N95" s="142">
        <v>6315470</v>
      </c>
      <c r="O95" s="142">
        <v>5998089.1699999999</v>
      </c>
      <c r="P95" s="142">
        <v>14318417.18</v>
      </c>
      <c r="Q95" s="142">
        <v>228030.72</v>
      </c>
      <c r="R95" s="142">
        <v>0</v>
      </c>
      <c r="S95" s="142">
        <f t="shared" si="3"/>
        <v>81839162.670000002</v>
      </c>
    </row>
    <row r="96" spans="1:19" s="64" customFormat="1" ht="14.25" customHeight="1" outlineLevel="2">
      <c r="A96" s="67">
        <v>584</v>
      </c>
      <c r="B96" s="68" t="s">
        <v>26</v>
      </c>
      <c r="C96" s="68" t="s">
        <v>191</v>
      </c>
      <c r="D96" s="68" t="s">
        <v>192</v>
      </c>
      <c r="E96" s="68" t="s">
        <v>213</v>
      </c>
      <c r="F96" s="68" t="s">
        <v>214</v>
      </c>
      <c r="G96" s="69">
        <v>61230</v>
      </c>
      <c r="H96" s="142">
        <v>1264.47</v>
      </c>
      <c r="I96" s="142">
        <v>145.25</v>
      </c>
      <c r="J96" s="132">
        <v>5172.192</v>
      </c>
      <c r="K96" s="132">
        <v>122.5997</v>
      </c>
      <c r="L96" s="132">
        <v>49.337800000000001</v>
      </c>
      <c r="M96" s="142">
        <v>77423498.099999994</v>
      </c>
      <c r="N96" s="142">
        <v>8893657.5</v>
      </c>
      <c r="O96" s="142">
        <v>7603009.0800000001</v>
      </c>
      <c r="P96" s="142">
        <v>43187803.200000003</v>
      </c>
      <c r="Q96" s="142">
        <v>1176957.1200000001</v>
      </c>
      <c r="R96" s="142">
        <v>444040.2</v>
      </c>
      <c r="S96" s="142">
        <f t="shared" si="3"/>
        <v>138728965.19999999</v>
      </c>
    </row>
    <row r="97" spans="1:19" s="64" customFormat="1" ht="14.25" customHeight="1" outlineLevel="2">
      <c r="A97" s="67">
        <v>585</v>
      </c>
      <c r="B97" s="68" t="s">
        <v>26</v>
      </c>
      <c r="C97" s="68" t="s">
        <v>191</v>
      </c>
      <c r="D97" s="68" t="s">
        <v>192</v>
      </c>
      <c r="E97" s="68" t="s">
        <v>215</v>
      </c>
      <c r="F97" s="68" t="s">
        <v>216</v>
      </c>
      <c r="G97" s="69">
        <v>11548</v>
      </c>
      <c r="H97" s="142">
        <v>1264.47</v>
      </c>
      <c r="I97" s="142">
        <v>145.25</v>
      </c>
      <c r="J97" s="132">
        <v>624.44299999999998</v>
      </c>
      <c r="K97" s="132">
        <v>7.3780999999999999</v>
      </c>
      <c r="L97" s="132">
        <v>0</v>
      </c>
      <c r="M97" s="142">
        <v>14602099.560000001</v>
      </c>
      <c r="N97" s="142">
        <v>1677347</v>
      </c>
      <c r="O97" s="142">
        <v>1531804.33</v>
      </c>
      <c r="P97" s="142">
        <v>5214099.05</v>
      </c>
      <c r="Q97" s="142">
        <v>70829.759999999995</v>
      </c>
      <c r="R97" s="142">
        <v>0</v>
      </c>
      <c r="S97" s="142">
        <f t="shared" si="3"/>
        <v>23096179.699999999</v>
      </c>
    </row>
    <row r="98" spans="1:19" s="64" customFormat="1" ht="14.25" customHeight="1" outlineLevel="1">
      <c r="A98" s="143"/>
      <c r="B98" s="144"/>
      <c r="C98" s="144"/>
      <c r="D98" s="145" t="s">
        <v>285</v>
      </c>
      <c r="E98" s="144"/>
      <c r="F98" s="144"/>
      <c r="G98" s="146">
        <f>SUBTOTAL(9,G86:G97)</f>
        <v>534396</v>
      </c>
      <c r="H98" s="147"/>
      <c r="I98" s="147"/>
      <c r="J98" s="151">
        <f t="shared" ref="J98:S98" si="8">SUBTOTAL(9,J86:J97)</f>
        <v>45580.083400000003</v>
      </c>
      <c r="K98" s="151">
        <f t="shared" si="8"/>
        <v>1057.6723</v>
      </c>
      <c r="L98" s="151">
        <f t="shared" si="8"/>
        <v>781.97170000000006</v>
      </c>
      <c r="M98" s="147">
        <f t="shared" si="8"/>
        <v>675727710.12</v>
      </c>
      <c r="N98" s="147">
        <f t="shared" si="8"/>
        <v>77621019</v>
      </c>
      <c r="O98" s="147">
        <f t="shared" si="8"/>
        <v>65223525.580000006</v>
      </c>
      <c r="P98" s="147">
        <f t="shared" si="8"/>
        <v>380593696.40999997</v>
      </c>
      <c r="Q98" s="147">
        <f t="shared" si="8"/>
        <v>10153654.08</v>
      </c>
      <c r="R98" s="147">
        <f t="shared" si="8"/>
        <v>7037745.3000000007</v>
      </c>
      <c r="S98" s="147">
        <f t="shared" si="8"/>
        <v>1216357350.49</v>
      </c>
    </row>
    <row r="99" spans="1:19" ht="13">
      <c r="A99" s="72"/>
      <c r="B99" s="73"/>
      <c r="C99" s="73"/>
      <c r="D99" s="74" t="s">
        <v>286</v>
      </c>
      <c r="E99" s="73"/>
      <c r="F99" s="73"/>
      <c r="G99" s="148">
        <f>SUBTOTAL(9,G4:G98)</f>
        <v>4134905</v>
      </c>
      <c r="H99" s="149"/>
      <c r="I99" s="149"/>
      <c r="J99" s="153">
        <f t="shared" ref="J99:S99" si="9">SUBTOTAL(9,J4:J98)</f>
        <v>528208.60629999998</v>
      </c>
      <c r="K99" s="153">
        <f t="shared" si="9"/>
        <v>12180.969800000003</v>
      </c>
      <c r="L99" s="153">
        <f t="shared" si="9"/>
        <v>13478.278899999999</v>
      </c>
      <c r="M99" s="149">
        <f t="shared" si="9"/>
        <v>5311270975.0800018</v>
      </c>
      <c r="N99" s="149">
        <f t="shared" si="9"/>
        <v>603849914.41999984</v>
      </c>
      <c r="O99" s="149">
        <f t="shared" si="9"/>
        <v>467169062.07999998</v>
      </c>
      <c r="P99" s="149">
        <f t="shared" si="9"/>
        <v>4410541862.829999</v>
      </c>
      <c r="Q99" s="149">
        <f t="shared" si="9"/>
        <v>116937310.07999997</v>
      </c>
      <c r="R99" s="149">
        <f t="shared" si="9"/>
        <v>121304510.10000002</v>
      </c>
      <c r="S99" s="149">
        <f t="shared" si="9"/>
        <v>11031073634.59</v>
      </c>
    </row>
    <row r="100" spans="1:19" ht="13">
      <c r="J100" s="4"/>
      <c r="K100" s="4"/>
      <c r="L100" s="4"/>
      <c r="N100" s="194"/>
      <c r="O100" s="194"/>
      <c r="S100" s="194"/>
    </row>
    <row r="101" spans="1:19" ht="13">
      <c r="J101" s="4"/>
      <c r="K101" s="4"/>
      <c r="L101" s="4"/>
    </row>
    <row r="102" spans="1:19" ht="13">
      <c r="J102" s="4"/>
      <c r="K102" s="4"/>
      <c r="L102" s="4"/>
    </row>
    <row r="103" spans="1:19" ht="13">
      <c r="J103" s="4"/>
      <c r="K103" s="4"/>
      <c r="L103" s="4"/>
    </row>
    <row r="104" spans="1:19" ht="13">
      <c r="J104" s="4"/>
      <c r="K104" s="4"/>
      <c r="L104" s="4"/>
    </row>
    <row r="105" spans="1:19" ht="13">
      <c r="J105" s="4"/>
      <c r="K105" s="4"/>
      <c r="L105" s="4"/>
    </row>
    <row r="106" spans="1:19" ht="13">
      <c r="J106" s="4"/>
      <c r="K106" s="4"/>
      <c r="L106" s="4"/>
    </row>
    <row r="107" spans="1:19" ht="13">
      <c r="J107" s="4"/>
      <c r="K107" s="4"/>
      <c r="L107" s="4"/>
    </row>
    <row r="108" spans="1:19" ht="13">
      <c r="J108" s="4"/>
      <c r="K108" s="4"/>
      <c r="L108" s="4"/>
    </row>
    <row r="109" spans="1:19" ht="13">
      <c r="J109" s="4"/>
      <c r="K109" s="4"/>
      <c r="L109" s="4"/>
    </row>
    <row r="110" spans="1:19" ht="13">
      <c r="J110" s="4"/>
      <c r="K110" s="4"/>
      <c r="L110" s="4"/>
    </row>
    <row r="111" spans="1:19" ht="13">
      <c r="J111" s="4"/>
      <c r="K111" s="4"/>
      <c r="L111" s="4"/>
    </row>
    <row r="112" spans="1:19" ht="13">
      <c r="J112" s="4"/>
      <c r="K112" s="4"/>
      <c r="L112" s="4"/>
    </row>
    <row r="113" s="4" customFormat="1" ht="13"/>
    <row r="114" s="4" customFormat="1" ht="13"/>
    <row r="115" s="4" customFormat="1" ht="13"/>
    <row r="116" s="4" customFormat="1" ht="13"/>
    <row r="117" s="4" customFormat="1" ht="13"/>
    <row r="118" s="4" customFormat="1" ht="13"/>
    <row r="119" s="4" customFormat="1" ht="13"/>
    <row r="120" s="4" customFormat="1" ht="13"/>
    <row r="121" s="4" customFormat="1" ht="13"/>
    <row r="122" s="4" customFormat="1" ht="13"/>
    <row r="123" s="4" customFormat="1" ht="13"/>
    <row r="124" s="4" customFormat="1" ht="13"/>
    <row r="125" s="4" customFormat="1" ht="13"/>
    <row r="126" s="4" customFormat="1" ht="13"/>
    <row r="127" s="4" customFormat="1" ht="13"/>
    <row r="128" s="4" customFormat="1" ht="13"/>
    <row r="129" s="4" customFormat="1" ht="13"/>
    <row r="130" s="4" customFormat="1" ht="13"/>
  </sheetData>
  <sheetProtection algorithmName="SHA-512" hashValue="yRKsc5/VQj771+JRZj77kcIBXLZw4vkhLnCQYVdJGop1mkB66b4Mn+Poe3m4kw6t1I71JTe97rjfbjiaTBbz+Q==" saltValue="fxnKfIcow5zD3kgdW/NIYg==" spinCount="100000" sheet="1" objects="1" scenarios="1" autoFilter="0"/>
  <autoFilter ref="A3:S98" xr:uid="{F3A91342-B9C2-454A-AEA4-4D0C514F09A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B988-219B-4F83-8042-52873406A850}">
  <sheetPr codeName="Sheet3"/>
  <dimension ref="A2:Y101"/>
  <sheetViews>
    <sheetView zoomScaleNormal="100" workbookViewId="0">
      <pane xSplit="6" ySplit="3" topLeftCell="T4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G7" sqref="G7"/>
    </sheetView>
  </sheetViews>
  <sheetFormatPr defaultColWidth="9" defaultRowHeight="13" outlineLevelRow="2"/>
  <cols>
    <col min="1" max="1" width="5" style="4" customWidth="1"/>
    <col min="2" max="2" width="5.36328125" style="4" customWidth="1"/>
    <col min="3" max="3" width="9" style="4" customWidth="1"/>
    <col min="4" max="4" width="9" style="4"/>
    <col min="5" max="5" width="5.6328125" style="4" customWidth="1"/>
    <col min="6" max="6" width="13.26953125" style="4" customWidth="1"/>
    <col min="7" max="7" width="6.7265625" style="4" customWidth="1"/>
    <col min="8" max="8" width="10.26953125" style="4" customWidth="1"/>
    <col min="9" max="9" width="9" style="4" customWidth="1"/>
    <col min="10" max="10" width="10.36328125" style="4" customWidth="1"/>
    <col min="11" max="11" width="13" style="4" customWidth="1"/>
    <col min="12" max="12" width="12" style="4" customWidth="1"/>
    <col min="13" max="13" width="12.7265625" style="4" customWidth="1"/>
    <col min="14" max="14" width="11.26953125" style="4" customWidth="1"/>
    <col min="15" max="15" width="18" style="4" customWidth="1"/>
    <col min="16" max="17" width="15.6328125" style="4" customWidth="1"/>
    <col min="18" max="18" width="15" style="4" customWidth="1"/>
    <col min="19" max="19" width="15.453125" style="4" customWidth="1"/>
    <col min="20" max="20" width="16.7265625" style="4" customWidth="1"/>
    <col min="21" max="21" width="17.453125" style="4" customWidth="1"/>
    <col min="22" max="22" width="15.6328125" style="4" customWidth="1"/>
    <col min="23" max="23" width="16.36328125" style="4" customWidth="1"/>
    <col min="24" max="24" width="17" style="4" customWidth="1"/>
    <col min="25" max="25" width="16.7265625" style="4" customWidth="1"/>
    <col min="26" max="16384" width="9" style="4"/>
  </cols>
  <sheetData>
    <row r="2" spans="1:25" ht="18.75" customHeight="1">
      <c r="A2" s="130"/>
      <c r="B2" s="65"/>
      <c r="C2" s="65"/>
      <c r="D2" s="65"/>
      <c r="E2" s="65"/>
      <c r="F2" s="65"/>
      <c r="G2" s="15"/>
      <c r="H2" s="75" t="s">
        <v>222</v>
      </c>
      <c r="I2" s="15" t="s">
        <v>223</v>
      </c>
      <c r="J2" s="15" t="s">
        <v>224</v>
      </c>
      <c r="K2" s="15" t="s">
        <v>225</v>
      </c>
      <c r="L2" s="15" t="s">
        <v>226</v>
      </c>
      <c r="M2" s="15" t="s">
        <v>227</v>
      </c>
      <c r="N2" s="15" t="s">
        <v>246</v>
      </c>
      <c r="O2" s="15" t="s">
        <v>247</v>
      </c>
      <c r="P2" s="15" t="s">
        <v>248</v>
      </c>
      <c r="Q2" s="15" t="s">
        <v>249</v>
      </c>
      <c r="R2" s="15" t="s">
        <v>231</v>
      </c>
      <c r="S2" s="15" t="s">
        <v>232</v>
      </c>
      <c r="T2" s="15" t="s">
        <v>233</v>
      </c>
      <c r="U2" s="15" t="s">
        <v>250</v>
      </c>
      <c r="V2" s="15" t="s">
        <v>251</v>
      </c>
      <c r="W2" s="76" t="s">
        <v>252</v>
      </c>
      <c r="X2" s="16" t="s">
        <v>253</v>
      </c>
      <c r="Y2" s="15" t="s">
        <v>254</v>
      </c>
    </row>
    <row r="3" spans="1:25" s="6" customFormat="1" ht="59.25" customHeight="1">
      <c r="A3" s="131" t="s">
        <v>277</v>
      </c>
      <c r="B3" s="66" t="s">
        <v>221</v>
      </c>
      <c r="C3" s="66" t="s">
        <v>9</v>
      </c>
      <c r="D3" s="66" t="s">
        <v>278</v>
      </c>
      <c r="E3" s="66" t="s">
        <v>10</v>
      </c>
      <c r="F3" s="66" t="s">
        <v>11</v>
      </c>
      <c r="G3" s="129" t="s">
        <v>15</v>
      </c>
      <c r="H3" s="88" t="s">
        <v>255</v>
      </c>
      <c r="I3" s="7" t="s">
        <v>256</v>
      </c>
      <c r="J3" s="7" t="s">
        <v>257</v>
      </c>
      <c r="K3" s="7" t="s">
        <v>237</v>
      </c>
      <c r="L3" s="7" t="s">
        <v>238</v>
      </c>
      <c r="M3" s="13" t="s">
        <v>239</v>
      </c>
      <c r="N3" s="7" t="s">
        <v>258</v>
      </c>
      <c r="O3" s="7" t="s">
        <v>259</v>
      </c>
      <c r="P3" s="7" t="s">
        <v>260</v>
      </c>
      <c r="Q3" s="7" t="s">
        <v>261</v>
      </c>
      <c r="R3" s="7" t="s">
        <v>13</v>
      </c>
      <c r="S3" s="14" t="s">
        <v>245</v>
      </c>
      <c r="T3" s="7" t="s">
        <v>262</v>
      </c>
      <c r="U3" s="7" t="s">
        <v>14</v>
      </c>
      <c r="V3" s="7" t="s">
        <v>263</v>
      </c>
      <c r="W3" s="7" t="s">
        <v>347</v>
      </c>
      <c r="X3" s="7" t="s">
        <v>349</v>
      </c>
      <c r="Y3" s="7" t="s">
        <v>348</v>
      </c>
    </row>
    <row r="4" spans="1:25" s="64" customFormat="1" ht="13.5" customHeight="1" outlineLevel="2">
      <c r="A4" s="67">
        <v>498</v>
      </c>
      <c r="B4" s="68" t="s">
        <v>26</v>
      </c>
      <c r="C4" s="68" t="s">
        <v>27</v>
      </c>
      <c r="D4" s="68" t="s">
        <v>28</v>
      </c>
      <c r="E4" s="68" t="s">
        <v>29</v>
      </c>
      <c r="F4" s="68" t="s">
        <v>30</v>
      </c>
      <c r="G4" s="70">
        <v>1.1000000000000001</v>
      </c>
      <c r="H4" s="69">
        <v>76768</v>
      </c>
      <c r="I4" s="142">
        <v>1073.7429563099208</v>
      </c>
      <c r="J4" s="142">
        <v>216.67375494997916</v>
      </c>
      <c r="K4" s="132">
        <v>17006.694100000001</v>
      </c>
      <c r="L4" s="132">
        <v>422.09010000000001</v>
      </c>
      <c r="M4" s="132">
        <v>389.9769</v>
      </c>
      <c r="N4" s="142">
        <v>7042.3751705465802</v>
      </c>
      <c r="O4" s="142">
        <v>82429099.269999996</v>
      </c>
      <c r="P4" s="142">
        <v>16633610.82</v>
      </c>
      <c r="Q4" s="142">
        <v>131744272.22</v>
      </c>
      <c r="R4" s="142">
        <v>4052064.96</v>
      </c>
      <c r="S4" s="142">
        <v>3509792.1</v>
      </c>
      <c r="T4" s="142">
        <f t="shared" ref="T4:T37" si="0">ROUND(O4+P4+Q4+R4+S4,2)</f>
        <v>238368839.37</v>
      </c>
      <c r="U4" s="142">
        <v>93112397</v>
      </c>
      <c r="V4" s="142">
        <f t="shared" ref="V4:V37" si="1">ROUND(T4-U4,2)</f>
        <v>145256442.37</v>
      </c>
      <c r="W4" s="142">
        <v>0</v>
      </c>
      <c r="X4" s="71">
        <f t="shared" ref="X4:X37" si="2">ROUND(V4+W4,2)</f>
        <v>145256442.37</v>
      </c>
      <c r="Y4" s="142">
        <v>130461290.43000001</v>
      </c>
    </row>
    <row r="5" spans="1:25" s="64" customFormat="1" ht="13.5" customHeight="1" outlineLevel="2">
      <c r="A5" s="67">
        <v>499</v>
      </c>
      <c r="B5" s="68" t="s">
        <v>26</v>
      </c>
      <c r="C5" s="68" t="s">
        <v>27</v>
      </c>
      <c r="D5" s="68" t="s">
        <v>28</v>
      </c>
      <c r="E5" s="68" t="s">
        <v>31</v>
      </c>
      <c r="F5" s="68" t="s">
        <v>32</v>
      </c>
      <c r="G5" s="70">
        <v>1.2</v>
      </c>
      <c r="H5" s="69">
        <v>41820</v>
      </c>
      <c r="I5" s="142">
        <v>1268.0514689143949</v>
      </c>
      <c r="J5" s="142">
        <v>255.88384218077474</v>
      </c>
      <c r="K5" s="132">
        <v>1910.0536999999999</v>
      </c>
      <c r="L5" s="132">
        <v>44.394199999999998</v>
      </c>
      <c r="M5" s="132">
        <v>0</v>
      </c>
      <c r="N5" s="142">
        <v>7042.3751705465802</v>
      </c>
      <c r="O5" s="142">
        <v>53029912.43</v>
      </c>
      <c r="P5" s="142">
        <v>10701062.279999999</v>
      </c>
      <c r="Q5" s="142">
        <v>16141577.42</v>
      </c>
      <c r="R5" s="142">
        <v>426184.32</v>
      </c>
      <c r="S5" s="142">
        <v>0</v>
      </c>
      <c r="T5" s="142">
        <f t="shared" si="0"/>
        <v>80298736.450000003</v>
      </c>
      <c r="U5" s="142">
        <v>26804885</v>
      </c>
      <c r="V5" s="142">
        <f t="shared" si="1"/>
        <v>53493851.450000003</v>
      </c>
      <c r="W5" s="142">
        <v>0</v>
      </c>
      <c r="X5" s="71">
        <f t="shared" si="2"/>
        <v>53493851.450000003</v>
      </c>
      <c r="Y5" s="142">
        <v>46343219.890000001</v>
      </c>
    </row>
    <row r="6" spans="1:25" s="64" customFormat="1" ht="13.5" customHeight="1" outlineLevel="2">
      <c r="A6" s="67">
        <v>500</v>
      </c>
      <c r="B6" s="68" t="s">
        <v>26</v>
      </c>
      <c r="C6" s="68" t="s">
        <v>27</v>
      </c>
      <c r="D6" s="68" t="s">
        <v>28</v>
      </c>
      <c r="E6" s="68" t="s">
        <v>33</v>
      </c>
      <c r="F6" s="68" t="s">
        <v>34</v>
      </c>
      <c r="G6" s="70">
        <v>1.1499999999999999</v>
      </c>
      <c r="H6" s="69">
        <v>48560</v>
      </c>
      <c r="I6" s="142">
        <v>1220.5603189868204</v>
      </c>
      <c r="J6" s="142">
        <v>246.30046313838551</v>
      </c>
      <c r="K6" s="132">
        <v>2365.1954999999998</v>
      </c>
      <c r="L6" s="132">
        <v>52.448999999999998</v>
      </c>
      <c r="M6" s="132">
        <v>0</v>
      </c>
      <c r="N6" s="142">
        <v>7042.3751705465802</v>
      </c>
      <c r="O6" s="142">
        <v>59270409.090000004</v>
      </c>
      <c r="P6" s="142">
        <v>11960350.49</v>
      </c>
      <c r="Q6" s="142">
        <v>19155083</v>
      </c>
      <c r="R6" s="142">
        <v>503510.4</v>
      </c>
      <c r="S6" s="142">
        <v>0</v>
      </c>
      <c r="T6" s="142">
        <f t="shared" si="0"/>
        <v>90889352.980000004</v>
      </c>
      <c r="U6" s="142">
        <v>30342831</v>
      </c>
      <c r="V6" s="142">
        <f t="shared" si="1"/>
        <v>60546521.979999997</v>
      </c>
      <c r="W6" s="142">
        <v>0</v>
      </c>
      <c r="X6" s="71">
        <f t="shared" si="2"/>
        <v>60546521.979999997</v>
      </c>
      <c r="Y6" s="142">
        <v>54073321.310000002</v>
      </c>
    </row>
    <row r="7" spans="1:25" s="64" customFormat="1" ht="13.5" customHeight="1" outlineLevel="2">
      <c r="A7" s="67">
        <v>501</v>
      </c>
      <c r="B7" s="68" t="s">
        <v>26</v>
      </c>
      <c r="C7" s="68" t="s">
        <v>27</v>
      </c>
      <c r="D7" s="68" t="s">
        <v>28</v>
      </c>
      <c r="E7" s="68" t="s">
        <v>35</v>
      </c>
      <c r="F7" s="68" t="s">
        <v>36</v>
      </c>
      <c r="G7" s="70">
        <v>1.1499999999999999</v>
      </c>
      <c r="H7" s="69">
        <v>53836</v>
      </c>
      <c r="I7" s="142">
        <v>1185.6846760531985</v>
      </c>
      <c r="J7" s="142">
        <v>239.26280444312357</v>
      </c>
      <c r="K7" s="132">
        <v>5188.9453999999996</v>
      </c>
      <c r="L7" s="132">
        <v>76.522400000000005</v>
      </c>
      <c r="M7" s="132">
        <v>3.7869999999999999</v>
      </c>
      <c r="N7" s="142">
        <v>7042.3751705465802</v>
      </c>
      <c r="O7" s="142">
        <v>63832520.219999999</v>
      </c>
      <c r="P7" s="142">
        <v>12880952.34</v>
      </c>
      <c r="Q7" s="142">
        <v>42023875.210000001</v>
      </c>
      <c r="R7" s="142">
        <v>734615.04000000004</v>
      </c>
      <c r="S7" s="142">
        <v>34083</v>
      </c>
      <c r="T7" s="142">
        <f t="shared" si="0"/>
        <v>119506045.81</v>
      </c>
      <c r="U7" s="142">
        <v>43299082</v>
      </c>
      <c r="V7" s="142">
        <f t="shared" si="1"/>
        <v>76206963.810000002</v>
      </c>
      <c r="W7" s="142">
        <v>0</v>
      </c>
      <c r="X7" s="71">
        <f t="shared" si="2"/>
        <v>76206963.810000002</v>
      </c>
      <c r="Y7" s="142">
        <v>69913498.079999998</v>
      </c>
    </row>
    <row r="8" spans="1:25" s="64" customFormat="1" ht="13.5" customHeight="1" outlineLevel="2">
      <c r="A8" s="67">
        <v>502</v>
      </c>
      <c r="B8" s="68" t="s">
        <v>26</v>
      </c>
      <c r="C8" s="68" t="s">
        <v>27</v>
      </c>
      <c r="D8" s="68" t="s">
        <v>28</v>
      </c>
      <c r="E8" s="68" t="s">
        <v>37</v>
      </c>
      <c r="F8" s="68" t="s">
        <v>38</v>
      </c>
      <c r="G8" s="70">
        <v>1.25</v>
      </c>
      <c r="H8" s="69">
        <v>31312</v>
      </c>
      <c r="I8" s="142">
        <v>1359.5228283086356</v>
      </c>
      <c r="J8" s="142">
        <v>274.34211739908022</v>
      </c>
      <c r="K8" s="132">
        <v>1959.0965000000001</v>
      </c>
      <c r="L8" s="132">
        <v>50.553899999999999</v>
      </c>
      <c r="M8" s="132">
        <v>0</v>
      </c>
      <c r="N8" s="142">
        <v>7042.3751705465802</v>
      </c>
      <c r="O8" s="142">
        <v>42569378.799999997</v>
      </c>
      <c r="P8" s="142">
        <v>8590200.3800000008</v>
      </c>
      <c r="Q8" s="142">
        <v>17245865.510000002</v>
      </c>
      <c r="R8" s="142">
        <v>485317.44</v>
      </c>
      <c r="S8" s="142">
        <v>0</v>
      </c>
      <c r="T8" s="142">
        <f t="shared" si="0"/>
        <v>68890762.129999995</v>
      </c>
      <c r="U8" s="142">
        <v>26215797</v>
      </c>
      <c r="V8" s="142">
        <f t="shared" si="1"/>
        <v>42674965.130000003</v>
      </c>
      <c r="W8" s="142">
        <v>0</v>
      </c>
      <c r="X8" s="71">
        <f t="shared" si="2"/>
        <v>42674965.130000003</v>
      </c>
      <c r="Y8" s="142">
        <v>35546380.18</v>
      </c>
    </row>
    <row r="9" spans="1:25" s="64" customFormat="1" ht="13.5" customHeight="1" outlineLevel="2">
      <c r="A9" s="67">
        <v>503</v>
      </c>
      <c r="B9" s="68" t="s">
        <v>26</v>
      </c>
      <c r="C9" s="68" t="s">
        <v>27</v>
      </c>
      <c r="D9" s="68" t="s">
        <v>28</v>
      </c>
      <c r="E9" s="68" t="s">
        <v>39</v>
      </c>
      <c r="F9" s="68" t="s">
        <v>40</v>
      </c>
      <c r="G9" s="70">
        <v>1.25</v>
      </c>
      <c r="H9" s="69">
        <v>30842</v>
      </c>
      <c r="I9" s="142">
        <v>1364.8482553012127</v>
      </c>
      <c r="J9" s="142">
        <v>275.41675085921793</v>
      </c>
      <c r="K9" s="132">
        <v>2274.6538999999998</v>
      </c>
      <c r="L9" s="132">
        <v>49.365699999999997</v>
      </c>
      <c r="M9" s="132">
        <v>0</v>
      </c>
      <c r="N9" s="142">
        <v>7042.3751705465802</v>
      </c>
      <c r="O9" s="142">
        <v>42094649.890000001</v>
      </c>
      <c r="P9" s="142">
        <v>8494403.4299999997</v>
      </c>
      <c r="Q9" s="142">
        <v>20023707.859999999</v>
      </c>
      <c r="R9" s="142">
        <v>473910.72</v>
      </c>
      <c r="S9" s="142">
        <v>0</v>
      </c>
      <c r="T9" s="142">
        <f t="shared" si="0"/>
        <v>71086671.900000006</v>
      </c>
      <c r="U9" s="142">
        <v>23569384</v>
      </c>
      <c r="V9" s="142">
        <f t="shared" si="1"/>
        <v>47517287.899999999</v>
      </c>
      <c r="W9" s="142">
        <v>0</v>
      </c>
      <c r="X9" s="71">
        <f t="shared" si="2"/>
        <v>47517287.899999999</v>
      </c>
      <c r="Y9" s="142">
        <v>44025221.969999999</v>
      </c>
    </row>
    <row r="10" spans="1:25" s="64" customFormat="1" ht="13.5" customHeight="1" outlineLevel="2">
      <c r="A10" s="67">
        <v>504</v>
      </c>
      <c r="B10" s="68" t="s">
        <v>26</v>
      </c>
      <c r="C10" s="68" t="s">
        <v>27</v>
      </c>
      <c r="D10" s="68" t="s">
        <v>28</v>
      </c>
      <c r="E10" s="68" t="s">
        <v>41</v>
      </c>
      <c r="F10" s="68" t="s">
        <v>42</v>
      </c>
      <c r="G10" s="70">
        <v>1.25</v>
      </c>
      <c r="H10" s="69">
        <v>31876</v>
      </c>
      <c r="I10" s="142">
        <v>1353.3396125611746</v>
      </c>
      <c r="J10" s="142">
        <v>273.09438825448615</v>
      </c>
      <c r="K10" s="132">
        <v>1504.6258</v>
      </c>
      <c r="L10" s="132">
        <v>23.980499999999999</v>
      </c>
      <c r="M10" s="132">
        <v>0</v>
      </c>
      <c r="N10" s="142">
        <v>7042.3751705465802</v>
      </c>
      <c r="O10" s="142">
        <v>43139053.490000002</v>
      </c>
      <c r="P10" s="142">
        <v>8705156.7200000007</v>
      </c>
      <c r="Q10" s="142">
        <v>13245174.57</v>
      </c>
      <c r="R10" s="142">
        <v>230212.8</v>
      </c>
      <c r="S10" s="142">
        <v>0</v>
      </c>
      <c r="T10" s="142">
        <f t="shared" si="0"/>
        <v>65319597.579999998</v>
      </c>
      <c r="U10" s="142">
        <v>23063288</v>
      </c>
      <c r="V10" s="142">
        <f t="shared" si="1"/>
        <v>42256309.579999998</v>
      </c>
      <c r="W10" s="142">
        <v>0</v>
      </c>
      <c r="X10" s="71">
        <f t="shared" si="2"/>
        <v>42256309.579999998</v>
      </c>
      <c r="Y10" s="142">
        <v>38896746.530000001</v>
      </c>
    </row>
    <row r="11" spans="1:25" s="64" customFormat="1" ht="13.5" customHeight="1" outlineLevel="2">
      <c r="A11" s="67">
        <v>505</v>
      </c>
      <c r="B11" s="68" t="s">
        <v>26</v>
      </c>
      <c r="C11" s="68" t="s">
        <v>27</v>
      </c>
      <c r="D11" s="68" t="s">
        <v>28</v>
      </c>
      <c r="E11" s="68" t="s">
        <v>43</v>
      </c>
      <c r="F11" s="68" t="s">
        <v>44</v>
      </c>
      <c r="G11" s="70">
        <v>1.35</v>
      </c>
      <c r="H11" s="69">
        <v>11279</v>
      </c>
      <c r="I11" s="142">
        <v>1570.6296692969233</v>
      </c>
      <c r="J11" s="142">
        <v>316.94198865147621</v>
      </c>
      <c r="K11" s="132">
        <v>691.48199999999997</v>
      </c>
      <c r="L11" s="132">
        <v>14.2354</v>
      </c>
      <c r="M11" s="132">
        <v>0</v>
      </c>
      <c r="N11" s="142">
        <v>7042.3751705465802</v>
      </c>
      <c r="O11" s="142">
        <v>17715132.039999999</v>
      </c>
      <c r="P11" s="142">
        <v>3574788.69</v>
      </c>
      <c r="Q11" s="142">
        <v>6574062.1500000004</v>
      </c>
      <c r="R11" s="142">
        <v>136659.84</v>
      </c>
      <c r="S11" s="142">
        <v>0</v>
      </c>
      <c r="T11" s="142">
        <f t="shared" si="0"/>
        <v>28000642.719999999</v>
      </c>
      <c r="U11" s="142">
        <v>13481298</v>
      </c>
      <c r="V11" s="142">
        <f t="shared" si="1"/>
        <v>14519344.720000001</v>
      </c>
      <c r="W11" s="142">
        <v>4130536.64</v>
      </c>
      <c r="X11" s="71">
        <f t="shared" si="2"/>
        <v>18649881.359999999</v>
      </c>
      <c r="Y11" s="142">
        <v>18649881.359999999</v>
      </c>
    </row>
    <row r="12" spans="1:25" s="64" customFormat="1" ht="13.5" customHeight="1" outlineLevel="1">
      <c r="A12" s="143"/>
      <c r="B12" s="144"/>
      <c r="C12" s="144"/>
      <c r="D12" s="145" t="s">
        <v>279</v>
      </c>
      <c r="E12" s="144"/>
      <c r="F12" s="144"/>
      <c r="G12" s="150"/>
      <c r="H12" s="146">
        <f>SUBTOTAL(9,H4:H11)</f>
        <v>326293</v>
      </c>
      <c r="I12" s="146"/>
      <c r="J12" s="146"/>
      <c r="K12" s="151">
        <f t="shared" ref="K12:Y12" si="3">SUBTOTAL(9,K4:K11)</f>
        <v>32900.746899999998</v>
      </c>
      <c r="L12" s="151">
        <f t="shared" si="3"/>
        <v>733.59119999999996</v>
      </c>
      <c r="M12" s="151">
        <f t="shared" si="3"/>
        <v>393.76389999999998</v>
      </c>
      <c r="N12" s="146"/>
      <c r="O12" s="147">
        <f t="shared" si="3"/>
        <v>404080155.23000002</v>
      </c>
      <c r="P12" s="147">
        <f t="shared" si="3"/>
        <v>81540525.150000006</v>
      </c>
      <c r="Q12" s="147">
        <f t="shared" si="3"/>
        <v>266153617.93999997</v>
      </c>
      <c r="R12" s="147">
        <f t="shared" si="3"/>
        <v>7042475.5200000005</v>
      </c>
      <c r="S12" s="147">
        <f t="shared" si="3"/>
        <v>3543875.1</v>
      </c>
      <c r="T12" s="147">
        <f t="shared" si="3"/>
        <v>762360648.94000006</v>
      </c>
      <c r="U12" s="147">
        <f t="shared" si="3"/>
        <v>279888962</v>
      </c>
      <c r="V12" s="147">
        <f t="shared" si="3"/>
        <v>482471686.94</v>
      </c>
      <c r="W12" s="147">
        <f t="shared" si="3"/>
        <v>4130536.64</v>
      </c>
      <c r="X12" s="147">
        <f t="shared" si="3"/>
        <v>486602223.57999998</v>
      </c>
      <c r="Y12" s="147">
        <f t="shared" si="3"/>
        <v>437909559.75</v>
      </c>
    </row>
    <row r="13" spans="1:25" s="64" customFormat="1" ht="13.5" customHeight="1" outlineLevel="2">
      <c r="A13" s="67">
        <v>506</v>
      </c>
      <c r="B13" s="68" t="s">
        <v>26</v>
      </c>
      <c r="C13" s="68" t="s">
        <v>45</v>
      </c>
      <c r="D13" s="68" t="s">
        <v>46</v>
      </c>
      <c r="E13" s="68" t="s">
        <v>47</v>
      </c>
      <c r="F13" s="68" t="s">
        <v>48</v>
      </c>
      <c r="G13" s="70">
        <v>1.1000000000000001</v>
      </c>
      <c r="H13" s="69">
        <v>100640</v>
      </c>
      <c r="I13" s="142">
        <v>1050.7489997019077</v>
      </c>
      <c r="J13" s="142">
        <v>204.59968630763115</v>
      </c>
      <c r="K13" s="132">
        <v>22667</v>
      </c>
      <c r="L13" s="132">
        <v>595.24159999999995</v>
      </c>
      <c r="M13" s="132">
        <v>852.57910000000004</v>
      </c>
      <c r="N13" s="142">
        <v>7042.3751705465802</v>
      </c>
      <c r="O13" s="142">
        <v>105747379.33</v>
      </c>
      <c r="P13" s="142">
        <v>20590912.43</v>
      </c>
      <c r="Q13" s="142">
        <v>175592469.78999999</v>
      </c>
      <c r="R13" s="142">
        <v>5714319.3600000003</v>
      </c>
      <c r="S13" s="142">
        <v>7673211.9000000004</v>
      </c>
      <c r="T13" s="142">
        <f t="shared" si="0"/>
        <v>315318292.81</v>
      </c>
      <c r="U13" s="142">
        <v>150118533</v>
      </c>
      <c r="V13" s="142">
        <f t="shared" si="1"/>
        <v>165199759.81</v>
      </c>
      <c r="W13" s="142">
        <v>0</v>
      </c>
      <c r="X13" s="71">
        <f t="shared" si="2"/>
        <v>165199759.81</v>
      </c>
      <c r="Y13" s="142">
        <v>148731292.12</v>
      </c>
    </row>
    <row r="14" spans="1:25" s="64" customFormat="1" ht="13.5" customHeight="1" outlineLevel="2">
      <c r="A14" s="67">
        <v>507</v>
      </c>
      <c r="B14" s="68" t="s">
        <v>26</v>
      </c>
      <c r="C14" s="68" t="s">
        <v>45</v>
      </c>
      <c r="D14" s="68" t="s">
        <v>46</v>
      </c>
      <c r="E14" s="68" t="s">
        <v>49</v>
      </c>
      <c r="F14" s="68" t="s">
        <v>50</v>
      </c>
      <c r="G14" s="70">
        <v>1.1000000000000001</v>
      </c>
      <c r="H14" s="69">
        <v>69726</v>
      </c>
      <c r="I14" s="142">
        <v>1152.3980063390989</v>
      </c>
      <c r="J14" s="142">
        <v>224.39257192438976</v>
      </c>
      <c r="K14" s="132">
        <v>3318.1509999999998</v>
      </c>
      <c r="L14" s="132">
        <v>94.749399999999994</v>
      </c>
      <c r="M14" s="132">
        <v>0</v>
      </c>
      <c r="N14" s="142">
        <v>7042.3751705465802</v>
      </c>
      <c r="O14" s="142">
        <v>80352103.390000001</v>
      </c>
      <c r="P14" s="142">
        <v>15645996.470000001</v>
      </c>
      <c r="Q14" s="142">
        <v>25704430.640000001</v>
      </c>
      <c r="R14" s="142">
        <v>909594.24</v>
      </c>
      <c r="S14" s="142">
        <v>0</v>
      </c>
      <c r="T14" s="142">
        <f t="shared" si="0"/>
        <v>122612124.73999999</v>
      </c>
      <c r="U14" s="142">
        <v>45193575</v>
      </c>
      <c r="V14" s="142">
        <f t="shared" si="1"/>
        <v>77418549.739999995</v>
      </c>
      <c r="W14" s="142">
        <v>0</v>
      </c>
      <c r="X14" s="71">
        <f t="shared" si="2"/>
        <v>77418549.739999995</v>
      </c>
      <c r="Y14" s="142">
        <v>64376825.770000003</v>
      </c>
    </row>
    <row r="15" spans="1:25" s="64" customFormat="1" ht="13.5" customHeight="1" outlineLevel="2">
      <c r="A15" s="67">
        <v>508</v>
      </c>
      <c r="B15" s="68" t="s">
        <v>26</v>
      </c>
      <c r="C15" s="68" t="s">
        <v>45</v>
      </c>
      <c r="D15" s="68" t="s">
        <v>46</v>
      </c>
      <c r="E15" s="68" t="s">
        <v>51</v>
      </c>
      <c r="F15" s="68" t="s">
        <v>52</v>
      </c>
      <c r="G15" s="70">
        <v>1.2</v>
      </c>
      <c r="H15" s="69">
        <v>47182</v>
      </c>
      <c r="I15" s="142">
        <v>1286.049063625959</v>
      </c>
      <c r="J15" s="142">
        <v>250.41683120681614</v>
      </c>
      <c r="K15" s="132">
        <v>1847.4011</v>
      </c>
      <c r="L15" s="132">
        <v>44.162300000000002</v>
      </c>
      <c r="M15" s="132">
        <v>0</v>
      </c>
      <c r="N15" s="142">
        <v>7042.3751705465802</v>
      </c>
      <c r="O15" s="142">
        <v>60678366.920000002</v>
      </c>
      <c r="P15" s="142">
        <v>11815166.93</v>
      </c>
      <c r="Q15" s="142">
        <v>15612109.82</v>
      </c>
      <c r="R15" s="142">
        <v>423958.08</v>
      </c>
      <c r="S15" s="142">
        <v>0</v>
      </c>
      <c r="T15" s="142">
        <f t="shared" si="0"/>
        <v>88529601.75</v>
      </c>
      <c r="U15" s="142">
        <v>34357141</v>
      </c>
      <c r="V15" s="142">
        <f t="shared" si="1"/>
        <v>54172460.75</v>
      </c>
      <c r="W15" s="142">
        <v>0</v>
      </c>
      <c r="X15" s="71">
        <f t="shared" si="2"/>
        <v>54172460.75</v>
      </c>
      <c r="Y15" s="142">
        <v>46424601.329999998</v>
      </c>
    </row>
    <row r="16" spans="1:25" s="64" customFormat="1" ht="13.5" customHeight="1" outlineLevel="2">
      <c r="A16" s="67">
        <v>509</v>
      </c>
      <c r="B16" s="68" t="s">
        <v>26</v>
      </c>
      <c r="C16" s="68" t="s">
        <v>45</v>
      </c>
      <c r="D16" s="68" t="s">
        <v>46</v>
      </c>
      <c r="E16" s="68" t="s">
        <v>53</v>
      </c>
      <c r="F16" s="68" t="s">
        <v>54</v>
      </c>
      <c r="G16" s="70">
        <v>1.1000000000000001</v>
      </c>
      <c r="H16" s="69">
        <v>82587</v>
      </c>
      <c r="I16" s="142">
        <v>1103.2255723055687</v>
      </c>
      <c r="J16" s="142">
        <v>214.81781672660347</v>
      </c>
      <c r="K16" s="132">
        <v>4798.1688999999997</v>
      </c>
      <c r="L16" s="132">
        <v>221.82910000000001</v>
      </c>
      <c r="M16" s="132">
        <v>0</v>
      </c>
      <c r="N16" s="142">
        <v>7042.3751705465802</v>
      </c>
      <c r="O16" s="142">
        <v>91112090.340000004</v>
      </c>
      <c r="P16" s="142">
        <v>17741159.030000001</v>
      </c>
      <c r="Q16" s="142">
        <v>37169556.149999999</v>
      </c>
      <c r="R16" s="142">
        <v>2129559.36</v>
      </c>
      <c r="S16" s="142">
        <v>0</v>
      </c>
      <c r="T16" s="142">
        <f t="shared" si="0"/>
        <v>148152364.88</v>
      </c>
      <c r="U16" s="142">
        <v>53633607</v>
      </c>
      <c r="V16" s="142">
        <f t="shared" si="1"/>
        <v>94518757.879999995</v>
      </c>
      <c r="W16" s="142">
        <v>0</v>
      </c>
      <c r="X16" s="71">
        <f t="shared" si="2"/>
        <v>94518757.879999995</v>
      </c>
      <c r="Y16" s="142">
        <v>85023250.370000005</v>
      </c>
    </row>
    <row r="17" spans="1:25" s="64" customFormat="1" ht="13.5" customHeight="1" outlineLevel="2">
      <c r="A17" s="67">
        <v>510</v>
      </c>
      <c r="B17" s="68" t="s">
        <v>26</v>
      </c>
      <c r="C17" s="68" t="s">
        <v>45</v>
      </c>
      <c r="D17" s="68" t="s">
        <v>46</v>
      </c>
      <c r="E17" s="68" t="s">
        <v>55</v>
      </c>
      <c r="F17" s="68" t="s">
        <v>56</v>
      </c>
      <c r="G17" s="70">
        <v>1.1499999999999999</v>
      </c>
      <c r="H17" s="69">
        <v>53672</v>
      </c>
      <c r="I17" s="142">
        <v>1241.6546942539871</v>
      </c>
      <c r="J17" s="142">
        <v>241.77245081234165</v>
      </c>
      <c r="K17" s="132">
        <v>2332.6136000000001</v>
      </c>
      <c r="L17" s="132">
        <v>53.698</v>
      </c>
      <c r="M17" s="132">
        <v>0</v>
      </c>
      <c r="N17" s="142">
        <v>7042.3751705465802</v>
      </c>
      <c r="O17" s="142">
        <v>66642090.75</v>
      </c>
      <c r="P17" s="142">
        <v>12976410.98</v>
      </c>
      <c r="Q17" s="142">
        <v>18891210.829999998</v>
      </c>
      <c r="R17" s="142">
        <v>515500.79999999999</v>
      </c>
      <c r="S17" s="142">
        <v>0</v>
      </c>
      <c r="T17" s="142">
        <f t="shared" si="0"/>
        <v>99025213.359999999</v>
      </c>
      <c r="U17" s="142">
        <v>34616842</v>
      </c>
      <c r="V17" s="142">
        <f t="shared" si="1"/>
        <v>64408371.359999999</v>
      </c>
      <c r="W17" s="142">
        <v>0</v>
      </c>
      <c r="X17" s="71">
        <f t="shared" si="2"/>
        <v>64408371.359999999</v>
      </c>
      <c r="Y17" s="142">
        <v>58561726.520000003</v>
      </c>
    </row>
    <row r="18" spans="1:25" s="64" customFormat="1" ht="13.5" customHeight="1" outlineLevel="2">
      <c r="A18" s="67">
        <v>511</v>
      </c>
      <c r="B18" s="68" t="s">
        <v>26</v>
      </c>
      <c r="C18" s="68" t="s">
        <v>45</v>
      </c>
      <c r="D18" s="68" t="s">
        <v>46</v>
      </c>
      <c r="E18" s="68" t="s">
        <v>57</v>
      </c>
      <c r="F18" s="68" t="s">
        <v>58</v>
      </c>
      <c r="G18" s="70">
        <v>1.3</v>
      </c>
      <c r="H18" s="69">
        <v>29031</v>
      </c>
      <c r="I18" s="142">
        <v>1445.2871857669388</v>
      </c>
      <c r="J18" s="142">
        <v>281.4233512452206</v>
      </c>
      <c r="K18" s="132">
        <v>1602.3444</v>
      </c>
      <c r="L18" s="132">
        <v>22.819800000000001</v>
      </c>
      <c r="M18" s="132">
        <v>0</v>
      </c>
      <c r="N18" s="142">
        <v>7042.3751705465802</v>
      </c>
      <c r="O18" s="142">
        <v>41958132.289999999</v>
      </c>
      <c r="P18" s="142">
        <v>8170001.3099999996</v>
      </c>
      <c r="Q18" s="142">
        <v>14669603.4</v>
      </c>
      <c r="R18" s="142">
        <v>219070.07999999999</v>
      </c>
      <c r="S18" s="142">
        <v>0</v>
      </c>
      <c r="T18" s="142">
        <f t="shared" si="0"/>
        <v>65016807.079999998</v>
      </c>
      <c r="U18" s="142">
        <v>18922497</v>
      </c>
      <c r="V18" s="142">
        <f t="shared" si="1"/>
        <v>46094310.079999998</v>
      </c>
      <c r="W18" s="142">
        <v>0</v>
      </c>
      <c r="X18" s="71">
        <f t="shared" si="2"/>
        <v>46094310.079999998</v>
      </c>
      <c r="Y18" s="142">
        <v>37703472.600000001</v>
      </c>
    </row>
    <row r="19" spans="1:25" s="64" customFormat="1" ht="13.5" customHeight="1" outlineLevel="1">
      <c r="A19" s="143"/>
      <c r="B19" s="144"/>
      <c r="C19" s="144"/>
      <c r="D19" s="145" t="s">
        <v>280</v>
      </c>
      <c r="E19" s="144"/>
      <c r="F19" s="144"/>
      <c r="G19" s="150"/>
      <c r="H19" s="146">
        <f>SUBTOTAL(9,H13:H18)</f>
        <v>382838</v>
      </c>
      <c r="I19" s="146"/>
      <c r="J19" s="146"/>
      <c r="K19" s="151">
        <f t="shared" ref="K19:Y19" si="4">SUBTOTAL(9,K13:K18)</f>
        <v>36565.678999999996</v>
      </c>
      <c r="L19" s="151">
        <f t="shared" si="4"/>
        <v>1032.5001999999999</v>
      </c>
      <c r="M19" s="151">
        <f t="shared" si="4"/>
        <v>852.57910000000004</v>
      </c>
      <c r="N19" s="146"/>
      <c r="O19" s="147">
        <f t="shared" si="4"/>
        <v>446490163.02000004</v>
      </c>
      <c r="P19" s="147">
        <f t="shared" si="4"/>
        <v>86939647.150000006</v>
      </c>
      <c r="Q19" s="147">
        <f t="shared" si="4"/>
        <v>287639380.63</v>
      </c>
      <c r="R19" s="147">
        <f t="shared" si="4"/>
        <v>9912001.9200000018</v>
      </c>
      <c r="S19" s="147">
        <f t="shared" si="4"/>
        <v>7673211.9000000004</v>
      </c>
      <c r="T19" s="147">
        <f t="shared" si="4"/>
        <v>838654404.62000012</v>
      </c>
      <c r="U19" s="147">
        <f t="shared" si="4"/>
        <v>336842195</v>
      </c>
      <c r="V19" s="147">
        <f t="shared" si="4"/>
        <v>501812209.62</v>
      </c>
      <c r="W19" s="147">
        <f t="shared" si="4"/>
        <v>0</v>
      </c>
      <c r="X19" s="147">
        <f t="shared" si="4"/>
        <v>501812209.62</v>
      </c>
      <c r="Y19" s="147">
        <f t="shared" si="4"/>
        <v>440821168.71000004</v>
      </c>
    </row>
    <row r="20" spans="1:25" s="64" customFormat="1" ht="13.5" customHeight="1" outlineLevel="2">
      <c r="A20" s="67">
        <v>512</v>
      </c>
      <c r="B20" s="68" t="s">
        <v>26</v>
      </c>
      <c r="C20" s="68" t="s">
        <v>59</v>
      </c>
      <c r="D20" s="68" t="s">
        <v>60</v>
      </c>
      <c r="E20" s="68" t="s">
        <v>61</v>
      </c>
      <c r="F20" s="68" t="s">
        <v>62</v>
      </c>
      <c r="G20" s="70">
        <v>1</v>
      </c>
      <c r="H20" s="69">
        <v>259511</v>
      </c>
      <c r="I20" s="142">
        <v>839.02528393786781</v>
      </c>
      <c r="J20" s="142">
        <v>165.69041682240828</v>
      </c>
      <c r="K20" s="132">
        <v>118240.8075</v>
      </c>
      <c r="L20" s="132">
        <v>2770.3712999999998</v>
      </c>
      <c r="M20" s="132">
        <v>3014.2811000000002</v>
      </c>
      <c r="N20" s="142">
        <v>7042.3751705465802</v>
      </c>
      <c r="O20" s="142">
        <v>217736290.46000001</v>
      </c>
      <c r="P20" s="142">
        <v>42998485.759999998</v>
      </c>
      <c r="Q20" s="142">
        <v>832696126.88</v>
      </c>
      <c r="R20" s="142">
        <v>26595564.48</v>
      </c>
      <c r="S20" s="142">
        <v>27128529.899999999</v>
      </c>
      <c r="T20" s="142">
        <f t="shared" si="0"/>
        <v>1147154997.48</v>
      </c>
      <c r="U20" s="142">
        <v>508411227</v>
      </c>
      <c r="V20" s="142">
        <f t="shared" si="1"/>
        <v>638743770.48000002</v>
      </c>
      <c r="W20" s="142">
        <v>0</v>
      </c>
      <c r="X20" s="71">
        <f t="shared" si="2"/>
        <v>638743770.48000002</v>
      </c>
      <c r="Y20" s="142">
        <v>621073047.52999997</v>
      </c>
    </row>
    <row r="21" spans="1:25" s="64" customFormat="1" ht="13.5" customHeight="1" outlineLevel="2">
      <c r="A21" s="67">
        <v>513</v>
      </c>
      <c r="B21" s="68" t="s">
        <v>26</v>
      </c>
      <c r="C21" s="68" t="s">
        <v>59</v>
      </c>
      <c r="D21" s="68" t="s">
        <v>60</v>
      </c>
      <c r="E21" s="68" t="s">
        <v>63</v>
      </c>
      <c r="F21" s="68" t="s">
        <v>64</v>
      </c>
      <c r="G21" s="70">
        <v>1.1499999999999999</v>
      </c>
      <c r="H21" s="69">
        <v>51752</v>
      </c>
      <c r="I21" s="142">
        <v>1238.1725355541814</v>
      </c>
      <c r="J21" s="142">
        <v>244.51387521255216</v>
      </c>
      <c r="K21" s="132">
        <v>2591.1801999999998</v>
      </c>
      <c r="L21" s="132">
        <v>36.265500000000003</v>
      </c>
      <c r="M21" s="132">
        <v>0</v>
      </c>
      <c r="N21" s="142">
        <v>7042.3751705465802</v>
      </c>
      <c r="O21" s="142">
        <v>64077905.060000002</v>
      </c>
      <c r="P21" s="142">
        <v>12654082.07</v>
      </c>
      <c r="Q21" s="142">
        <v>20985272.359999999</v>
      </c>
      <c r="R21" s="142">
        <v>348148.8</v>
      </c>
      <c r="S21" s="142">
        <v>0</v>
      </c>
      <c r="T21" s="142">
        <f t="shared" si="0"/>
        <v>98065408.290000007</v>
      </c>
      <c r="U21" s="142">
        <v>33803447</v>
      </c>
      <c r="V21" s="142">
        <f t="shared" si="1"/>
        <v>64261961.289999999</v>
      </c>
      <c r="W21" s="142">
        <v>0</v>
      </c>
      <c r="X21" s="71">
        <f t="shared" si="2"/>
        <v>64261961.289999999</v>
      </c>
      <c r="Y21" s="142">
        <v>48818763.439999998</v>
      </c>
    </row>
    <row r="22" spans="1:25" s="64" customFormat="1" ht="13.5" customHeight="1" outlineLevel="2">
      <c r="A22" s="67">
        <v>514</v>
      </c>
      <c r="B22" s="68" t="s">
        <v>26</v>
      </c>
      <c r="C22" s="68" t="s">
        <v>59</v>
      </c>
      <c r="D22" s="68" t="s">
        <v>60</v>
      </c>
      <c r="E22" s="68" t="s">
        <v>65</v>
      </c>
      <c r="F22" s="68" t="s">
        <v>66</v>
      </c>
      <c r="G22" s="70">
        <v>1.2</v>
      </c>
      <c r="H22" s="69">
        <v>49952</v>
      </c>
      <c r="I22" s="142">
        <v>1251.3981778507368</v>
      </c>
      <c r="J22" s="142">
        <v>247.12567024343372</v>
      </c>
      <c r="K22" s="132">
        <v>2295.5652</v>
      </c>
      <c r="L22" s="132">
        <v>47.308300000000003</v>
      </c>
      <c r="M22" s="132">
        <v>0</v>
      </c>
      <c r="N22" s="142">
        <v>7042.3751705465802</v>
      </c>
      <c r="O22" s="142">
        <v>62509841.780000001</v>
      </c>
      <c r="P22" s="142">
        <v>12344421.48</v>
      </c>
      <c r="Q22" s="142">
        <v>19399477.359999999</v>
      </c>
      <c r="R22" s="142">
        <v>454159.68</v>
      </c>
      <c r="S22" s="142">
        <v>0</v>
      </c>
      <c r="T22" s="142">
        <f t="shared" si="0"/>
        <v>94707900.299999997</v>
      </c>
      <c r="U22" s="142">
        <v>40834521</v>
      </c>
      <c r="V22" s="142">
        <f t="shared" si="1"/>
        <v>53873379.299999997</v>
      </c>
      <c r="W22" s="142">
        <v>0</v>
      </c>
      <c r="X22" s="71">
        <f t="shared" si="2"/>
        <v>53873379.299999997</v>
      </c>
      <c r="Y22" s="142">
        <v>46747503.43</v>
      </c>
    </row>
    <row r="23" spans="1:25" s="64" customFormat="1" ht="13.5" customHeight="1" outlineLevel="2">
      <c r="A23" s="67">
        <v>515</v>
      </c>
      <c r="B23" s="68" t="s">
        <v>26</v>
      </c>
      <c r="C23" s="68" t="s">
        <v>59</v>
      </c>
      <c r="D23" s="68" t="s">
        <v>60</v>
      </c>
      <c r="E23" s="68" t="s">
        <v>67</v>
      </c>
      <c r="F23" s="68" t="s">
        <v>68</v>
      </c>
      <c r="G23" s="70">
        <v>1.1499999999999999</v>
      </c>
      <c r="H23" s="69">
        <v>84526</v>
      </c>
      <c r="I23" s="142">
        <v>1082.3589659986276</v>
      </c>
      <c r="J23" s="142">
        <v>213.74386650261457</v>
      </c>
      <c r="K23" s="132">
        <v>13595.438</v>
      </c>
      <c r="L23" s="132">
        <v>381.3956</v>
      </c>
      <c r="M23" s="132">
        <v>18.091799999999999</v>
      </c>
      <c r="N23" s="142">
        <v>7042.3751705465802</v>
      </c>
      <c r="O23" s="142">
        <v>91487473.959999993</v>
      </c>
      <c r="P23" s="142">
        <v>18066914.059999999</v>
      </c>
      <c r="Q23" s="142">
        <v>110105801.25</v>
      </c>
      <c r="R23" s="142">
        <v>3661397.76</v>
      </c>
      <c r="S23" s="142">
        <v>162826.20000000001</v>
      </c>
      <c r="T23" s="142">
        <f t="shared" si="0"/>
        <v>223484413.22999999</v>
      </c>
      <c r="U23" s="142">
        <v>96803058</v>
      </c>
      <c r="V23" s="142">
        <f t="shared" si="1"/>
        <v>126681355.23</v>
      </c>
      <c r="W23" s="142">
        <v>0</v>
      </c>
      <c r="X23" s="71">
        <f t="shared" si="2"/>
        <v>126681355.23</v>
      </c>
      <c r="Y23" s="142">
        <v>106560462.81999999</v>
      </c>
    </row>
    <row r="24" spans="1:25" s="64" customFormat="1" ht="13.5" customHeight="1" outlineLevel="2">
      <c r="A24" s="67">
        <v>516</v>
      </c>
      <c r="B24" s="68" t="s">
        <v>26</v>
      </c>
      <c r="C24" s="68" t="s">
        <v>59</v>
      </c>
      <c r="D24" s="68" t="s">
        <v>60</v>
      </c>
      <c r="E24" s="68" t="s">
        <v>69</v>
      </c>
      <c r="F24" s="68" t="s">
        <v>70</v>
      </c>
      <c r="G24" s="70">
        <v>1.5</v>
      </c>
      <c r="H24" s="69">
        <v>4061</v>
      </c>
      <c r="I24" s="142">
        <v>1737.6587761635064</v>
      </c>
      <c r="J24" s="142">
        <v>343.1522408273824</v>
      </c>
      <c r="K24" s="132">
        <v>0</v>
      </c>
      <c r="L24" s="132">
        <v>0</v>
      </c>
      <c r="M24" s="132">
        <v>0</v>
      </c>
      <c r="N24" s="142">
        <v>7042.3751705465802</v>
      </c>
      <c r="O24" s="142">
        <v>7056632.29</v>
      </c>
      <c r="P24" s="142">
        <v>1393541.25</v>
      </c>
      <c r="Q24" s="142">
        <v>0</v>
      </c>
      <c r="R24" s="142">
        <v>0</v>
      </c>
      <c r="S24" s="142">
        <v>0</v>
      </c>
      <c r="T24" s="142">
        <f t="shared" si="0"/>
        <v>8450173.5399999991</v>
      </c>
      <c r="U24" s="142">
        <v>7863327</v>
      </c>
      <c r="V24" s="142">
        <f t="shared" si="1"/>
        <v>586846.54</v>
      </c>
      <c r="W24" s="142">
        <v>9413153.4600000009</v>
      </c>
      <c r="X24" s="71">
        <f t="shared" si="2"/>
        <v>10000000</v>
      </c>
      <c r="Y24" s="142">
        <v>10000000</v>
      </c>
    </row>
    <row r="25" spans="1:25" s="64" customFormat="1" ht="13.5" customHeight="1" outlineLevel="2">
      <c r="A25" s="67">
        <v>517</v>
      </c>
      <c r="B25" s="68" t="s">
        <v>26</v>
      </c>
      <c r="C25" s="68" t="s">
        <v>59</v>
      </c>
      <c r="D25" s="68" t="s">
        <v>60</v>
      </c>
      <c r="E25" s="68" t="s">
        <v>71</v>
      </c>
      <c r="F25" s="68" t="s">
        <v>72</v>
      </c>
      <c r="G25" s="70">
        <v>1.25</v>
      </c>
      <c r="H25" s="69">
        <v>37153</v>
      </c>
      <c r="I25" s="142">
        <v>1346.6025346539982</v>
      </c>
      <c r="J25" s="142">
        <v>265.92659300729417</v>
      </c>
      <c r="K25" s="132">
        <v>2169.4890999999998</v>
      </c>
      <c r="L25" s="132">
        <v>34.862499999999997</v>
      </c>
      <c r="M25" s="132">
        <v>6.1119000000000003</v>
      </c>
      <c r="N25" s="142">
        <v>7042.3751705465802</v>
      </c>
      <c r="O25" s="142">
        <v>50030323.969999999</v>
      </c>
      <c r="P25" s="142">
        <v>9879970.7100000009</v>
      </c>
      <c r="Q25" s="142">
        <v>19097945.390000001</v>
      </c>
      <c r="R25" s="142">
        <v>334680</v>
      </c>
      <c r="S25" s="142">
        <v>55007.1</v>
      </c>
      <c r="T25" s="142">
        <f t="shared" si="0"/>
        <v>79397927.170000002</v>
      </c>
      <c r="U25" s="142">
        <v>29450868</v>
      </c>
      <c r="V25" s="142">
        <f t="shared" si="1"/>
        <v>49947059.170000002</v>
      </c>
      <c r="W25" s="142">
        <v>0</v>
      </c>
      <c r="X25" s="71">
        <f t="shared" si="2"/>
        <v>49947059.170000002</v>
      </c>
      <c r="Y25" s="142">
        <v>39966858.119999997</v>
      </c>
    </row>
    <row r="26" spans="1:25" s="64" customFormat="1" ht="13.5" customHeight="1" outlineLevel="2">
      <c r="A26" s="67">
        <v>518</v>
      </c>
      <c r="B26" s="68" t="s">
        <v>26</v>
      </c>
      <c r="C26" s="68" t="s">
        <v>59</v>
      </c>
      <c r="D26" s="68" t="s">
        <v>60</v>
      </c>
      <c r="E26" s="68" t="s">
        <v>73</v>
      </c>
      <c r="F26" s="68" t="s">
        <v>74</v>
      </c>
      <c r="G26" s="70">
        <v>1.1000000000000001</v>
      </c>
      <c r="H26" s="69">
        <v>91710</v>
      </c>
      <c r="I26" s="142">
        <v>1061.4194292879729</v>
      </c>
      <c r="J26" s="142">
        <v>209.6087341620325</v>
      </c>
      <c r="K26" s="132">
        <v>6241.1603999999998</v>
      </c>
      <c r="L26" s="132">
        <v>88.013599999999997</v>
      </c>
      <c r="M26" s="132">
        <v>8.5539000000000005</v>
      </c>
      <c r="N26" s="142">
        <v>7042.3751705465802</v>
      </c>
      <c r="O26" s="142">
        <v>97342775.859999999</v>
      </c>
      <c r="P26" s="142">
        <v>19223217.010000002</v>
      </c>
      <c r="Q26" s="142">
        <v>48347852.060000002</v>
      </c>
      <c r="R26" s="142">
        <v>844930.56000000006</v>
      </c>
      <c r="S26" s="142">
        <v>76985.100000000006</v>
      </c>
      <c r="T26" s="142">
        <f t="shared" si="0"/>
        <v>165835760.59</v>
      </c>
      <c r="U26" s="142">
        <v>69390201</v>
      </c>
      <c r="V26" s="142">
        <f t="shared" si="1"/>
        <v>96445559.590000004</v>
      </c>
      <c r="W26" s="142">
        <v>0</v>
      </c>
      <c r="X26" s="71">
        <f t="shared" si="2"/>
        <v>96445559.590000004</v>
      </c>
      <c r="Y26" s="142">
        <v>86754270.340000004</v>
      </c>
    </row>
    <row r="27" spans="1:25" s="64" customFormat="1" ht="13.5" customHeight="1" outlineLevel="2">
      <c r="A27" s="67">
        <v>519</v>
      </c>
      <c r="B27" s="68" t="s">
        <v>26</v>
      </c>
      <c r="C27" s="68" t="s">
        <v>59</v>
      </c>
      <c r="D27" s="68" t="s">
        <v>60</v>
      </c>
      <c r="E27" s="68" t="s">
        <v>75</v>
      </c>
      <c r="F27" s="68" t="s">
        <v>76</v>
      </c>
      <c r="G27" s="70">
        <v>1.3</v>
      </c>
      <c r="H27" s="69">
        <v>25272</v>
      </c>
      <c r="I27" s="142">
        <v>1457.0150581671414</v>
      </c>
      <c r="J27" s="142">
        <v>287.73081908831909</v>
      </c>
      <c r="K27" s="132">
        <v>1172.5636</v>
      </c>
      <c r="L27" s="132">
        <v>12.6966</v>
      </c>
      <c r="M27" s="132">
        <v>0</v>
      </c>
      <c r="N27" s="142">
        <v>7042.3751705465802</v>
      </c>
      <c r="O27" s="142">
        <v>36821684.549999997</v>
      </c>
      <c r="P27" s="142">
        <v>7271533.2599999998</v>
      </c>
      <c r="Q27" s="142">
        <v>10734922.76</v>
      </c>
      <c r="R27" s="142">
        <v>121887.36</v>
      </c>
      <c r="S27" s="142">
        <v>0</v>
      </c>
      <c r="T27" s="142">
        <f t="shared" si="0"/>
        <v>54950027.93</v>
      </c>
      <c r="U27" s="142">
        <v>22580514</v>
      </c>
      <c r="V27" s="142">
        <f t="shared" si="1"/>
        <v>32369513.93</v>
      </c>
      <c r="W27" s="142">
        <v>0</v>
      </c>
      <c r="X27" s="71">
        <f t="shared" si="2"/>
        <v>32369513.93</v>
      </c>
      <c r="Y27" s="142">
        <v>27500653.43</v>
      </c>
    </row>
    <row r="28" spans="1:25" s="64" customFormat="1" ht="13.5" customHeight="1" outlineLevel="2">
      <c r="A28" s="67">
        <v>520</v>
      </c>
      <c r="B28" s="68" t="s">
        <v>26</v>
      </c>
      <c r="C28" s="68" t="s">
        <v>59</v>
      </c>
      <c r="D28" s="68" t="s">
        <v>60</v>
      </c>
      <c r="E28" s="68" t="s">
        <v>77</v>
      </c>
      <c r="F28" s="68" t="s">
        <v>78</v>
      </c>
      <c r="G28" s="70">
        <v>1.3</v>
      </c>
      <c r="H28" s="69">
        <v>29850</v>
      </c>
      <c r="I28" s="142">
        <v>1420.1067293132328</v>
      </c>
      <c r="J28" s="142">
        <v>280.44217554438865</v>
      </c>
      <c r="K28" s="132">
        <v>1118.5631000000001</v>
      </c>
      <c r="L28" s="132">
        <v>20.002199999999998</v>
      </c>
      <c r="M28" s="132">
        <v>0</v>
      </c>
      <c r="N28" s="142">
        <v>7042.3751705465802</v>
      </c>
      <c r="O28" s="142">
        <v>42390185.869999997</v>
      </c>
      <c r="P28" s="142">
        <v>8371198.9400000004</v>
      </c>
      <c r="Q28" s="142">
        <v>10240543.09</v>
      </c>
      <c r="R28" s="142">
        <v>192021.12</v>
      </c>
      <c r="S28" s="142">
        <v>0</v>
      </c>
      <c r="T28" s="142">
        <f t="shared" si="0"/>
        <v>61193949.020000003</v>
      </c>
      <c r="U28" s="142">
        <v>19840224</v>
      </c>
      <c r="V28" s="142">
        <f t="shared" si="1"/>
        <v>41353725.020000003</v>
      </c>
      <c r="W28" s="142">
        <v>0</v>
      </c>
      <c r="X28" s="71">
        <f t="shared" si="2"/>
        <v>41353725.020000003</v>
      </c>
      <c r="Y28" s="142">
        <v>34865709.25</v>
      </c>
    </row>
    <row r="29" spans="1:25" s="64" customFormat="1" ht="13.5" customHeight="1" outlineLevel="2">
      <c r="A29" s="67">
        <v>521</v>
      </c>
      <c r="B29" s="68" t="s">
        <v>26</v>
      </c>
      <c r="C29" s="68" t="s">
        <v>59</v>
      </c>
      <c r="D29" s="68" t="s">
        <v>60</v>
      </c>
      <c r="E29" s="68" t="s">
        <v>79</v>
      </c>
      <c r="F29" s="68" t="s">
        <v>80</v>
      </c>
      <c r="G29" s="70">
        <v>1.25</v>
      </c>
      <c r="H29" s="69">
        <v>36573</v>
      </c>
      <c r="I29" s="142">
        <v>1351.4236928881962</v>
      </c>
      <c r="J29" s="142">
        <v>266.87867361168077</v>
      </c>
      <c r="K29" s="132">
        <v>1688.8957</v>
      </c>
      <c r="L29" s="132">
        <v>27.6968</v>
      </c>
      <c r="M29" s="132">
        <v>0</v>
      </c>
      <c r="N29" s="142">
        <v>7042.3751705465802</v>
      </c>
      <c r="O29" s="142">
        <v>49425618.719999999</v>
      </c>
      <c r="P29" s="142">
        <v>9760553.7300000004</v>
      </c>
      <c r="Q29" s="142">
        <v>14867296.25</v>
      </c>
      <c r="R29" s="142">
        <v>265889.28000000003</v>
      </c>
      <c r="S29" s="142">
        <v>0</v>
      </c>
      <c r="T29" s="142">
        <f t="shared" si="0"/>
        <v>74319357.980000004</v>
      </c>
      <c r="U29" s="142">
        <v>29005878</v>
      </c>
      <c r="V29" s="142">
        <f t="shared" si="1"/>
        <v>45313479.979999997</v>
      </c>
      <c r="W29" s="142">
        <v>0</v>
      </c>
      <c r="X29" s="71">
        <f t="shared" si="2"/>
        <v>45313479.979999997</v>
      </c>
      <c r="Y29" s="142">
        <v>39762029.600000001</v>
      </c>
    </row>
    <row r="30" spans="1:25" s="64" customFormat="1" ht="13.5" customHeight="1" outlineLevel="2">
      <c r="A30" s="67">
        <v>522</v>
      </c>
      <c r="B30" s="68" t="s">
        <v>26</v>
      </c>
      <c r="C30" s="68" t="s">
        <v>59</v>
      </c>
      <c r="D30" s="68" t="s">
        <v>60</v>
      </c>
      <c r="E30" s="68" t="s">
        <v>81</v>
      </c>
      <c r="F30" s="68" t="s">
        <v>82</v>
      </c>
      <c r="G30" s="70">
        <v>1.2</v>
      </c>
      <c r="H30" s="69">
        <v>43596</v>
      </c>
      <c r="I30" s="142">
        <v>1294.5071618955867</v>
      </c>
      <c r="J30" s="142">
        <v>255.63881732269019</v>
      </c>
      <c r="K30" s="132">
        <v>2450.2330999999999</v>
      </c>
      <c r="L30" s="132">
        <v>56.857900000000001</v>
      </c>
      <c r="M30" s="132">
        <v>0</v>
      </c>
      <c r="N30" s="142">
        <v>7042.3751705465802</v>
      </c>
      <c r="O30" s="142">
        <v>56435334.229999997</v>
      </c>
      <c r="P30" s="142">
        <v>11144829.880000001</v>
      </c>
      <c r="Q30" s="142">
        <v>20706552.75</v>
      </c>
      <c r="R30" s="142">
        <v>545835.84</v>
      </c>
      <c r="S30" s="142">
        <v>0</v>
      </c>
      <c r="T30" s="142">
        <f t="shared" si="0"/>
        <v>88832552.700000003</v>
      </c>
      <c r="U30" s="142">
        <v>32989170</v>
      </c>
      <c r="V30" s="142">
        <f t="shared" si="1"/>
        <v>55843382.700000003</v>
      </c>
      <c r="W30" s="142">
        <v>0</v>
      </c>
      <c r="X30" s="71">
        <f t="shared" si="2"/>
        <v>55843382.700000003</v>
      </c>
      <c r="Y30" s="142">
        <v>49821461.280000001</v>
      </c>
    </row>
    <row r="31" spans="1:25" s="64" customFormat="1" ht="13.5" customHeight="1" outlineLevel="2">
      <c r="A31" s="67">
        <v>523</v>
      </c>
      <c r="B31" s="68" t="s">
        <v>26</v>
      </c>
      <c r="C31" s="68" t="s">
        <v>59</v>
      </c>
      <c r="D31" s="68" t="s">
        <v>60</v>
      </c>
      <c r="E31" s="68" t="s">
        <v>83</v>
      </c>
      <c r="F31" s="68" t="s">
        <v>84</v>
      </c>
      <c r="G31" s="70">
        <v>1.1000000000000001</v>
      </c>
      <c r="H31" s="69">
        <v>87077</v>
      </c>
      <c r="I31" s="142">
        <v>1074.8307651848365</v>
      </c>
      <c r="J31" s="142">
        <v>212.25719994946999</v>
      </c>
      <c r="K31" s="132">
        <v>6250.7851000000001</v>
      </c>
      <c r="L31" s="132">
        <v>106.669</v>
      </c>
      <c r="M31" s="132">
        <v>0</v>
      </c>
      <c r="N31" s="142">
        <v>7042.3751705465802</v>
      </c>
      <c r="O31" s="142">
        <v>93593038.540000007</v>
      </c>
      <c r="P31" s="142">
        <v>18482720.199999999</v>
      </c>
      <c r="Q31" s="142">
        <v>48422411.090000004</v>
      </c>
      <c r="R31" s="142">
        <v>1024022.4</v>
      </c>
      <c r="S31" s="142">
        <v>0</v>
      </c>
      <c r="T31" s="142">
        <f t="shared" si="0"/>
        <v>161522192.22999999</v>
      </c>
      <c r="U31" s="142">
        <v>59205656</v>
      </c>
      <c r="V31" s="142">
        <f t="shared" si="1"/>
        <v>102316536.23</v>
      </c>
      <c r="W31" s="142">
        <v>0</v>
      </c>
      <c r="X31" s="71">
        <f t="shared" si="2"/>
        <v>102316536.23</v>
      </c>
      <c r="Y31" s="142">
        <v>88220657.040000007</v>
      </c>
    </row>
    <row r="32" spans="1:25" s="64" customFormat="1" ht="13.5" customHeight="1" outlineLevel="2">
      <c r="A32" s="67">
        <v>524</v>
      </c>
      <c r="B32" s="68" t="s">
        <v>26</v>
      </c>
      <c r="C32" s="68" t="s">
        <v>59</v>
      </c>
      <c r="D32" s="68" t="s">
        <v>60</v>
      </c>
      <c r="E32" s="68" t="s">
        <v>85</v>
      </c>
      <c r="F32" s="68" t="s">
        <v>86</v>
      </c>
      <c r="G32" s="70">
        <v>1.1499999999999999</v>
      </c>
      <c r="H32" s="69">
        <v>46833</v>
      </c>
      <c r="I32" s="142">
        <v>1271.0903642730555</v>
      </c>
      <c r="J32" s="142">
        <v>251.01447654431706</v>
      </c>
      <c r="K32" s="132">
        <v>2908.6091000000001</v>
      </c>
      <c r="L32" s="132">
        <v>61.230200000000004</v>
      </c>
      <c r="M32" s="132">
        <v>0</v>
      </c>
      <c r="N32" s="142">
        <v>7042.3751705465802</v>
      </c>
      <c r="O32" s="142">
        <v>59528975.030000001</v>
      </c>
      <c r="P32" s="142">
        <v>11755760.98</v>
      </c>
      <c r="Q32" s="142">
        <v>23556044.23</v>
      </c>
      <c r="R32" s="142">
        <v>587809.92000000004</v>
      </c>
      <c r="S32" s="142">
        <v>0</v>
      </c>
      <c r="T32" s="142">
        <f t="shared" si="0"/>
        <v>95428590.159999996</v>
      </c>
      <c r="U32" s="142">
        <v>32482612</v>
      </c>
      <c r="V32" s="142">
        <f t="shared" si="1"/>
        <v>62945978.159999996</v>
      </c>
      <c r="W32" s="142">
        <v>0</v>
      </c>
      <c r="X32" s="71">
        <f t="shared" si="2"/>
        <v>62945978.159999996</v>
      </c>
      <c r="Y32" s="142">
        <v>58018106.210000001</v>
      </c>
    </row>
    <row r="33" spans="1:25" s="64" customFormat="1" ht="13.5" customHeight="1" outlineLevel="2">
      <c r="A33" s="67">
        <v>525</v>
      </c>
      <c r="B33" s="68" t="s">
        <v>26</v>
      </c>
      <c r="C33" s="68" t="s">
        <v>59</v>
      </c>
      <c r="D33" s="68" t="s">
        <v>60</v>
      </c>
      <c r="E33" s="68" t="s">
        <v>87</v>
      </c>
      <c r="F33" s="68" t="s">
        <v>88</v>
      </c>
      <c r="G33" s="70">
        <v>1.1000000000000001</v>
      </c>
      <c r="H33" s="69">
        <v>88644</v>
      </c>
      <c r="I33" s="142">
        <v>1070.4212514101348</v>
      </c>
      <c r="J33" s="142">
        <v>211.38641081178648</v>
      </c>
      <c r="K33" s="132">
        <v>5100.3122999999996</v>
      </c>
      <c r="L33" s="132">
        <v>77.556100000000001</v>
      </c>
      <c r="M33" s="132">
        <v>0</v>
      </c>
      <c r="N33" s="142">
        <v>7042.3751705465802</v>
      </c>
      <c r="O33" s="142">
        <v>94886421.409999996</v>
      </c>
      <c r="P33" s="142">
        <v>18738137</v>
      </c>
      <c r="Q33" s="142">
        <v>39510143.759999998</v>
      </c>
      <c r="R33" s="142">
        <v>744538.56</v>
      </c>
      <c r="S33" s="142">
        <v>0</v>
      </c>
      <c r="T33" s="142">
        <f t="shared" si="0"/>
        <v>153879240.72999999</v>
      </c>
      <c r="U33" s="142">
        <v>50374021</v>
      </c>
      <c r="V33" s="142">
        <f t="shared" si="1"/>
        <v>103505219.73</v>
      </c>
      <c r="W33" s="142">
        <v>0</v>
      </c>
      <c r="X33" s="71">
        <f t="shared" si="2"/>
        <v>103505219.73</v>
      </c>
      <c r="Y33" s="142">
        <v>92587241.439999998</v>
      </c>
    </row>
    <row r="34" spans="1:25" s="64" customFormat="1" ht="13.5" customHeight="1" outlineLevel="2">
      <c r="A34" s="67">
        <v>526</v>
      </c>
      <c r="B34" s="68" t="s">
        <v>26</v>
      </c>
      <c r="C34" s="68" t="s">
        <v>59</v>
      </c>
      <c r="D34" s="68" t="s">
        <v>60</v>
      </c>
      <c r="E34" s="68" t="s">
        <v>89</v>
      </c>
      <c r="F34" s="68" t="s">
        <v>90</v>
      </c>
      <c r="G34" s="70">
        <v>1.3</v>
      </c>
      <c r="H34" s="69">
        <v>22384</v>
      </c>
      <c r="I34" s="142">
        <v>1488.0644013581129</v>
      </c>
      <c r="J34" s="142">
        <v>293.86243254110082</v>
      </c>
      <c r="K34" s="132">
        <v>1282.1799000000001</v>
      </c>
      <c r="L34" s="132">
        <v>8.1761999999999997</v>
      </c>
      <c r="M34" s="132">
        <v>0</v>
      </c>
      <c r="N34" s="142">
        <v>7042.3751705465802</v>
      </c>
      <c r="O34" s="142">
        <v>33308833.559999999</v>
      </c>
      <c r="P34" s="142">
        <v>6577816.6900000004</v>
      </c>
      <c r="Q34" s="142">
        <v>11738469.67</v>
      </c>
      <c r="R34" s="142">
        <v>78491.520000000004</v>
      </c>
      <c r="S34" s="142">
        <v>0</v>
      </c>
      <c r="T34" s="142">
        <f t="shared" si="0"/>
        <v>51703611.439999998</v>
      </c>
      <c r="U34" s="142">
        <v>17459872</v>
      </c>
      <c r="V34" s="142">
        <f t="shared" si="1"/>
        <v>34243739.439999998</v>
      </c>
      <c r="W34" s="142">
        <v>0</v>
      </c>
      <c r="X34" s="71">
        <f t="shared" si="2"/>
        <v>34243739.439999998</v>
      </c>
      <c r="Y34" s="142">
        <v>27397422.260000002</v>
      </c>
    </row>
    <row r="35" spans="1:25" s="64" customFormat="1" ht="13.5" customHeight="1" outlineLevel="2">
      <c r="A35" s="67">
        <v>527</v>
      </c>
      <c r="B35" s="68" t="s">
        <v>26</v>
      </c>
      <c r="C35" s="68" t="s">
        <v>59</v>
      </c>
      <c r="D35" s="68" t="s">
        <v>60</v>
      </c>
      <c r="E35" s="68" t="s">
        <v>91</v>
      </c>
      <c r="F35" s="68" t="s">
        <v>92</v>
      </c>
      <c r="G35" s="70">
        <v>1.3</v>
      </c>
      <c r="H35" s="69">
        <v>21097</v>
      </c>
      <c r="I35" s="142">
        <v>1504.6393691046121</v>
      </c>
      <c r="J35" s="142">
        <v>297.13565151443333</v>
      </c>
      <c r="K35" s="132">
        <v>1011.5075000000001</v>
      </c>
      <c r="L35" s="132">
        <v>17.324999999999999</v>
      </c>
      <c r="M35" s="132">
        <v>0</v>
      </c>
      <c r="N35" s="142">
        <v>7042.3751705465802</v>
      </c>
      <c r="O35" s="142">
        <v>31743376.77</v>
      </c>
      <c r="P35" s="142">
        <v>6268670.8399999999</v>
      </c>
      <c r="Q35" s="142">
        <v>9260440.25</v>
      </c>
      <c r="R35" s="142">
        <v>166320</v>
      </c>
      <c r="S35" s="142">
        <v>0</v>
      </c>
      <c r="T35" s="142">
        <f t="shared" si="0"/>
        <v>47438807.859999999</v>
      </c>
      <c r="U35" s="142">
        <v>22188463</v>
      </c>
      <c r="V35" s="142">
        <f t="shared" si="1"/>
        <v>25250344.859999999</v>
      </c>
      <c r="W35" s="142">
        <v>0</v>
      </c>
      <c r="X35" s="71">
        <f t="shared" si="2"/>
        <v>25250344.859999999</v>
      </c>
      <c r="Y35" s="142">
        <v>22916882.82</v>
      </c>
    </row>
    <row r="36" spans="1:25" s="64" customFormat="1" ht="13.5" customHeight="1" outlineLevel="2">
      <c r="A36" s="67">
        <v>528</v>
      </c>
      <c r="B36" s="68" t="s">
        <v>26</v>
      </c>
      <c r="C36" s="68" t="s">
        <v>59</v>
      </c>
      <c r="D36" s="68" t="s">
        <v>60</v>
      </c>
      <c r="E36" s="68" t="s">
        <v>93</v>
      </c>
      <c r="F36" s="68" t="s">
        <v>94</v>
      </c>
      <c r="G36" s="70">
        <v>1.3</v>
      </c>
      <c r="H36" s="69">
        <v>23846</v>
      </c>
      <c r="I36" s="142">
        <v>1471.4062551371301</v>
      </c>
      <c r="J36" s="142">
        <v>290.57278788895411</v>
      </c>
      <c r="K36" s="132">
        <v>1333.4483</v>
      </c>
      <c r="L36" s="132">
        <v>18.182600000000001</v>
      </c>
      <c r="M36" s="132">
        <v>0</v>
      </c>
      <c r="N36" s="142">
        <v>7042.3751705465802</v>
      </c>
      <c r="O36" s="142">
        <v>35087153.560000002</v>
      </c>
      <c r="P36" s="142">
        <v>6928998.7000000002</v>
      </c>
      <c r="Q36" s="142">
        <v>12207836.23</v>
      </c>
      <c r="R36" s="142">
        <v>174552.95999999999</v>
      </c>
      <c r="S36" s="142">
        <v>0</v>
      </c>
      <c r="T36" s="142">
        <f t="shared" si="0"/>
        <v>54398541.450000003</v>
      </c>
      <c r="U36" s="142">
        <v>17124067</v>
      </c>
      <c r="V36" s="142">
        <f t="shared" si="1"/>
        <v>37274474.450000003</v>
      </c>
      <c r="W36" s="142">
        <v>0</v>
      </c>
      <c r="X36" s="71">
        <f t="shared" si="2"/>
        <v>37274474.450000003</v>
      </c>
      <c r="Y36" s="142">
        <v>30304289.620000001</v>
      </c>
    </row>
    <row r="37" spans="1:25" s="64" customFormat="1" ht="13.5" customHeight="1" outlineLevel="2">
      <c r="A37" s="67">
        <v>529</v>
      </c>
      <c r="B37" s="68" t="s">
        <v>26</v>
      </c>
      <c r="C37" s="68" t="s">
        <v>59</v>
      </c>
      <c r="D37" s="68" t="s">
        <v>60</v>
      </c>
      <c r="E37" s="68" t="s">
        <v>95</v>
      </c>
      <c r="F37" s="68" t="s">
        <v>96</v>
      </c>
      <c r="G37" s="70">
        <v>1.35</v>
      </c>
      <c r="H37" s="69">
        <v>19462</v>
      </c>
      <c r="I37" s="142">
        <v>1524.0540674134211</v>
      </c>
      <c r="J37" s="142">
        <v>300.96965933614223</v>
      </c>
      <c r="K37" s="132">
        <v>1482.5989</v>
      </c>
      <c r="L37" s="132">
        <v>23.538900000000002</v>
      </c>
      <c r="M37" s="132">
        <v>0</v>
      </c>
      <c r="N37" s="142">
        <v>7042.3751705465802</v>
      </c>
      <c r="O37" s="142">
        <v>29661140.260000002</v>
      </c>
      <c r="P37" s="142">
        <v>5857471.5099999998</v>
      </c>
      <c r="Q37" s="142">
        <v>14095373.76</v>
      </c>
      <c r="R37" s="142">
        <v>225973.44</v>
      </c>
      <c r="S37" s="142">
        <v>0</v>
      </c>
      <c r="T37" s="142">
        <f t="shared" si="0"/>
        <v>49839958.969999999</v>
      </c>
      <c r="U37" s="142">
        <v>19315577</v>
      </c>
      <c r="V37" s="142">
        <f t="shared" si="1"/>
        <v>30524381.969999999</v>
      </c>
      <c r="W37" s="142">
        <v>0</v>
      </c>
      <c r="X37" s="71">
        <f t="shared" si="2"/>
        <v>30524381.969999999</v>
      </c>
      <c r="Y37" s="142">
        <v>25616749.850000001</v>
      </c>
    </row>
    <row r="38" spans="1:25" s="64" customFormat="1" ht="13.5" customHeight="1" outlineLevel="2">
      <c r="A38" s="67">
        <v>530</v>
      </c>
      <c r="B38" s="68" t="s">
        <v>26</v>
      </c>
      <c r="C38" s="68" t="s">
        <v>59</v>
      </c>
      <c r="D38" s="68" t="s">
        <v>60</v>
      </c>
      <c r="E38" s="68" t="s">
        <v>97</v>
      </c>
      <c r="F38" s="68" t="s">
        <v>98</v>
      </c>
      <c r="G38" s="70">
        <v>1.1000000000000001</v>
      </c>
      <c r="H38" s="69">
        <v>98564</v>
      </c>
      <c r="I38" s="142">
        <v>1041.9852767744815</v>
      </c>
      <c r="J38" s="142">
        <v>205.77088460289761</v>
      </c>
      <c r="K38" s="132">
        <v>6844.8869000000004</v>
      </c>
      <c r="L38" s="132">
        <v>155.17359999999999</v>
      </c>
      <c r="M38" s="132">
        <v>42.033099999999997</v>
      </c>
      <c r="N38" s="142">
        <v>7042.3751705465802</v>
      </c>
      <c r="O38" s="142">
        <v>102702236.81999999</v>
      </c>
      <c r="P38" s="142">
        <v>20281601.469999999</v>
      </c>
      <c r="Q38" s="142">
        <v>53024687.780000001</v>
      </c>
      <c r="R38" s="142">
        <v>1489666.56</v>
      </c>
      <c r="S38" s="142">
        <v>378297.9</v>
      </c>
      <c r="T38" s="142">
        <f t="shared" ref="T38:T97" si="5">ROUND(O38+P38+Q38+R38+S38,2)</f>
        <v>177876490.53</v>
      </c>
      <c r="U38" s="142">
        <v>59770968</v>
      </c>
      <c r="V38" s="142">
        <f t="shared" ref="V38:V97" si="6">ROUND(T38-U38,2)</f>
        <v>118105522.53</v>
      </c>
      <c r="W38" s="142">
        <v>0</v>
      </c>
      <c r="X38" s="71">
        <f t="shared" ref="X38:X97" si="7">ROUND(V38+W38,2)</f>
        <v>118105522.53</v>
      </c>
      <c r="Y38" s="142">
        <v>115699650.34999999</v>
      </c>
    </row>
    <row r="39" spans="1:25" s="64" customFormat="1" ht="13.5" customHeight="1" outlineLevel="2">
      <c r="A39" s="67">
        <v>531</v>
      </c>
      <c r="B39" s="68" t="s">
        <v>26</v>
      </c>
      <c r="C39" s="68" t="s">
        <v>59</v>
      </c>
      <c r="D39" s="68" t="s">
        <v>60</v>
      </c>
      <c r="E39" s="68" t="s">
        <v>99</v>
      </c>
      <c r="F39" s="68" t="s">
        <v>100</v>
      </c>
      <c r="G39" s="70">
        <v>1.35</v>
      </c>
      <c r="H39" s="69">
        <v>18224</v>
      </c>
      <c r="I39" s="142">
        <v>1533.152052787533</v>
      </c>
      <c r="J39" s="142">
        <v>302.76632627304656</v>
      </c>
      <c r="K39" s="132">
        <v>940.37959999999998</v>
      </c>
      <c r="L39" s="132">
        <v>8.8940999999999999</v>
      </c>
      <c r="M39" s="132">
        <v>0</v>
      </c>
      <c r="N39" s="142">
        <v>7042.3751705465802</v>
      </c>
      <c r="O39" s="142">
        <v>27940163.010000002</v>
      </c>
      <c r="P39" s="142">
        <v>5517613.5300000003</v>
      </c>
      <c r="Q39" s="142">
        <v>8940383.3100000005</v>
      </c>
      <c r="R39" s="142">
        <v>85383.360000000001</v>
      </c>
      <c r="S39" s="142">
        <v>0</v>
      </c>
      <c r="T39" s="142">
        <f t="shared" si="5"/>
        <v>42483543.210000001</v>
      </c>
      <c r="U39" s="142">
        <v>12889643</v>
      </c>
      <c r="V39" s="142">
        <f t="shared" si="6"/>
        <v>29593900.210000001</v>
      </c>
      <c r="W39" s="142">
        <v>0</v>
      </c>
      <c r="X39" s="71">
        <f t="shared" si="7"/>
        <v>29593900.210000001</v>
      </c>
      <c r="Y39" s="142">
        <v>23670246.789999999</v>
      </c>
    </row>
    <row r="40" spans="1:25" s="64" customFormat="1" ht="13.5" customHeight="1" outlineLevel="2">
      <c r="A40" s="67">
        <v>532</v>
      </c>
      <c r="B40" s="68" t="s">
        <v>26</v>
      </c>
      <c r="C40" s="68" t="s">
        <v>59</v>
      </c>
      <c r="D40" s="68" t="s">
        <v>60</v>
      </c>
      <c r="E40" s="68" t="s">
        <v>101</v>
      </c>
      <c r="F40" s="68" t="s">
        <v>102</v>
      </c>
      <c r="G40" s="70">
        <v>1.35</v>
      </c>
      <c r="H40" s="69">
        <v>19204</v>
      </c>
      <c r="I40" s="142">
        <v>1525.853337325557</v>
      </c>
      <c r="J40" s="142">
        <v>301.32497812955631</v>
      </c>
      <c r="K40" s="132">
        <v>727.15110000000004</v>
      </c>
      <c r="L40" s="132">
        <v>17.854199999999999</v>
      </c>
      <c r="M40" s="132">
        <v>0</v>
      </c>
      <c r="N40" s="142">
        <v>7042.3751705465802</v>
      </c>
      <c r="O40" s="142">
        <v>29302487.489999998</v>
      </c>
      <c r="P40" s="142">
        <v>5786644.8799999999</v>
      </c>
      <c r="Q40" s="142">
        <v>6913175.7599999998</v>
      </c>
      <c r="R40" s="142">
        <v>171400.32000000001</v>
      </c>
      <c r="S40" s="142">
        <v>0</v>
      </c>
      <c r="T40" s="142">
        <f t="shared" si="5"/>
        <v>42173708.450000003</v>
      </c>
      <c r="U40" s="142">
        <v>14154954</v>
      </c>
      <c r="V40" s="142">
        <f t="shared" si="6"/>
        <v>28018754.449999999</v>
      </c>
      <c r="W40" s="142">
        <v>0</v>
      </c>
      <c r="X40" s="71">
        <f t="shared" si="7"/>
        <v>28018754.449999999</v>
      </c>
      <c r="Y40" s="142">
        <v>22235059.690000001</v>
      </c>
    </row>
    <row r="41" spans="1:25" s="64" customFormat="1" ht="13.5" customHeight="1" outlineLevel="1">
      <c r="A41" s="143"/>
      <c r="B41" s="144"/>
      <c r="C41" s="144"/>
      <c r="D41" s="145" t="s">
        <v>281</v>
      </c>
      <c r="E41" s="144"/>
      <c r="F41" s="144"/>
      <c r="G41" s="150"/>
      <c r="H41" s="146">
        <f>SUBTOTAL(9,H20:H40)</f>
        <v>1159291</v>
      </c>
      <c r="I41" s="146"/>
      <c r="J41" s="146"/>
      <c r="K41" s="151">
        <f t="shared" ref="K41:Y41" si="8">SUBTOTAL(9,K20:K40)</f>
        <v>179445.75459999999</v>
      </c>
      <c r="L41" s="151">
        <f t="shared" si="8"/>
        <v>3970.0702000000001</v>
      </c>
      <c r="M41" s="151">
        <f t="shared" si="8"/>
        <v>3089.0718000000002</v>
      </c>
      <c r="N41" s="146"/>
      <c r="O41" s="147">
        <f t="shared" si="8"/>
        <v>1313067893.1999998</v>
      </c>
      <c r="P41" s="147">
        <f t="shared" si="8"/>
        <v>259304183.94999996</v>
      </c>
      <c r="Q41" s="147">
        <f t="shared" si="8"/>
        <v>1334850755.99</v>
      </c>
      <c r="R41" s="147">
        <f t="shared" si="8"/>
        <v>38112673.920000009</v>
      </c>
      <c r="S41" s="147">
        <f t="shared" si="8"/>
        <v>27801646.199999999</v>
      </c>
      <c r="T41" s="147">
        <f t="shared" si="8"/>
        <v>2973137153.2599998</v>
      </c>
      <c r="U41" s="147">
        <f t="shared" si="8"/>
        <v>1195938268</v>
      </c>
      <c r="V41" s="147">
        <f t="shared" si="8"/>
        <v>1777198885.2600002</v>
      </c>
      <c r="W41" s="147">
        <f t="shared" si="8"/>
        <v>9413153.4600000009</v>
      </c>
      <c r="X41" s="147">
        <f t="shared" si="8"/>
        <v>1786612038.7200003</v>
      </c>
      <c r="Y41" s="147">
        <f t="shared" si="8"/>
        <v>1618537065.3099997</v>
      </c>
    </row>
    <row r="42" spans="1:25" s="64" customFormat="1" ht="13.5" customHeight="1" outlineLevel="2">
      <c r="A42" s="67">
        <v>533</v>
      </c>
      <c r="B42" s="68" t="s">
        <v>26</v>
      </c>
      <c r="C42" s="68" t="s">
        <v>103</v>
      </c>
      <c r="D42" s="68" t="s">
        <v>104</v>
      </c>
      <c r="E42" s="68" t="s">
        <v>105</v>
      </c>
      <c r="F42" s="68" t="s">
        <v>106</v>
      </c>
      <c r="G42" s="70">
        <v>1.1000000000000001</v>
      </c>
      <c r="H42" s="69">
        <v>92905</v>
      </c>
      <c r="I42" s="142">
        <v>1092.2474006781122</v>
      </c>
      <c r="J42" s="142">
        <v>210.12640159302512</v>
      </c>
      <c r="K42" s="132">
        <v>40982.7598</v>
      </c>
      <c r="L42" s="132">
        <v>940.09939999999995</v>
      </c>
      <c r="M42" s="132">
        <v>3496.7195999999999</v>
      </c>
      <c r="N42" s="142">
        <v>7042.3751705465802</v>
      </c>
      <c r="O42" s="142">
        <v>101475244.76000001</v>
      </c>
      <c r="P42" s="142">
        <v>19521793.34</v>
      </c>
      <c r="Q42" s="142">
        <v>317477567.18000001</v>
      </c>
      <c r="R42" s="142">
        <v>9024954.2400000002</v>
      </c>
      <c r="S42" s="142">
        <v>31470476.399999999</v>
      </c>
      <c r="T42" s="142">
        <f t="shared" si="5"/>
        <v>478970035.92000002</v>
      </c>
      <c r="U42" s="142">
        <v>226933961</v>
      </c>
      <c r="V42" s="142">
        <f t="shared" si="6"/>
        <v>252036074.91999999</v>
      </c>
      <c r="W42" s="142">
        <v>3097094.05</v>
      </c>
      <c r="X42" s="71">
        <f t="shared" si="7"/>
        <v>255133168.97</v>
      </c>
      <c r="Y42" s="142">
        <v>255133168.97</v>
      </c>
    </row>
    <row r="43" spans="1:25" s="64" customFormat="1" ht="13.5" customHeight="1" outlineLevel="2">
      <c r="A43" s="67">
        <v>534</v>
      </c>
      <c r="B43" s="68" t="s">
        <v>26</v>
      </c>
      <c r="C43" s="68" t="s">
        <v>103</v>
      </c>
      <c r="D43" s="68" t="s">
        <v>104</v>
      </c>
      <c r="E43" s="68" t="s">
        <v>107</v>
      </c>
      <c r="F43" s="68" t="s">
        <v>108</v>
      </c>
      <c r="G43" s="70">
        <v>1.3</v>
      </c>
      <c r="H43" s="69">
        <v>21409</v>
      </c>
      <c r="I43" s="142">
        <v>1549.2640286795272</v>
      </c>
      <c r="J43" s="142">
        <v>298.04719650614226</v>
      </c>
      <c r="K43" s="132">
        <v>1280.3031000000001</v>
      </c>
      <c r="L43" s="132">
        <v>18.897400000000001</v>
      </c>
      <c r="M43" s="132">
        <v>0</v>
      </c>
      <c r="N43" s="142">
        <v>7042.3751705465802</v>
      </c>
      <c r="O43" s="142">
        <v>33168193.59</v>
      </c>
      <c r="P43" s="142">
        <v>6380892.4299999997</v>
      </c>
      <c r="Q43" s="142">
        <v>11721286.98</v>
      </c>
      <c r="R43" s="142">
        <v>181415.04000000001</v>
      </c>
      <c r="S43" s="142">
        <v>0</v>
      </c>
      <c r="T43" s="142">
        <f t="shared" si="5"/>
        <v>51451788.039999999</v>
      </c>
      <c r="U43" s="142">
        <v>17741677</v>
      </c>
      <c r="V43" s="142">
        <f t="shared" si="6"/>
        <v>33710111.039999999</v>
      </c>
      <c r="W43" s="142">
        <v>0</v>
      </c>
      <c r="X43" s="71">
        <f t="shared" si="7"/>
        <v>33710111.039999999</v>
      </c>
      <c r="Y43" s="142">
        <v>27766981.989999998</v>
      </c>
    </row>
    <row r="44" spans="1:25" s="64" customFormat="1" ht="13.5" customHeight="1" outlineLevel="2">
      <c r="A44" s="67">
        <v>535</v>
      </c>
      <c r="B44" s="68" t="s">
        <v>26</v>
      </c>
      <c r="C44" s="68" t="s">
        <v>103</v>
      </c>
      <c r="D44" s="68" t="s">
        <v>104</v>
      </c>
      <c r="E44" s="68" t="s">
        <v>109</v>
      </c>
      <c r="F44" s="68" t="s">
        <v>110</v>
      </c>
      <c r="G44" s="70">
        <v>1.2</v>
      </c>
      <c r="H44" s="69">
        <v>47161</v>
      </c>
      <c r="I44" s="142">
        <v>1310.1881749750853</v>
      </c>
      <c r="J44" s="142">
        <v>252.05381713704119</v>
      </c>
      <c r="K44" s="132">
        <v>2564.0414000000001</v>
      </c>
      <c r="L44" s="132">
        <v>32.728200000000001</v>
      </c>
      <c r="M44" s="132">
        <v>0</v>
      </c>
      <c r="N44" s="142">
        <v>7042.3751705465802</v>
      </c>
      <c r="O44" s="142">
        <v>61789784.520000003</v>
      </c>
      <c r="P44" s="142">
        <v>11887110.07</v>
      </c>
      <c r="Q44" s="142">
        <v>21668329.93</v>
      </c>
      <c r="R44" s="142">
        <v>314190.71999999997</v>
      </c>
      <c r="S44" s="142">
        <v>0</v>
      </c>
      <c r="T44" s="142">
        <f t="shared" si="5"/>
        <v>95659415.239999995</v>
      </c>
      <c r="U44" s="142">
        <v>39004774</v>
      </c>
      <c r="V44" s="142">
        <f t="shared" si="6"/>
        <v>56654641.240000002</v>
      </c>
      <c r="W44" s="142">
        <v>1997948.93</v>
      </c>
      <c r="X44" s="71">
        <f t="shared" si="7"/>
        <v>58652590.170000002</v>
      </c>
      <c r="Y44" s="142">
        <v>58652590.170000002</v>
      </c>
    </row>
    <row r="45" spans="1:25" s="64" customFormat="1" ht="13.5" customHeight="1" outlineLevel="2">
      <c r="A45" s="67">
        <v>536</v>
      </c>
      <c r="B45" s="68" t="s">
        <v>26</v>
      </c>
      <c r="C45" s="68" t="s">
        <v>103</v>
      </c>
      <c r="D45" s="68" t="s">
        <v>104</v>
      </c>
      <c r="E45" s="68" t="s">
        <v>111</v>
      </c>
      <c r="F45" s="68" t="s">
        <v>112</v>
      </c>
      <c r="G45" s="70">
        <v>1.25</v>
      </c>
      <c r="H45" s="69">
        <v>34265</v>
      </c>
      <c r="I45" s="142">
        <v>1416.8792152342041</v>
      </c>
      <c r="J45" s="142">
        <v>272.57902436888952</v>
      </c>
      <c r="K45" s="132">
        <v>2354.625</v>
      </c>
      <c r="L45" s="132">
        <v>50.146599999999999</v>
      </c>
      <c r="M45" s="132">
        <v>0</v>
      </c>
      <c r="N45" s="142">
        <v>7042.3751705465802</v>
      </c>
      <c r="O45" s="142">
        <v>48549366.310000002</v>
      </c>
      <c r="P45" s="142">
        <v>9339920.2699999996</v>
      </c>
      <c r="Q45" s="142">
        <v>20727691.149999999</v>
      </c>
      <c r="R45" s="142">
        <v>481407.36</v>
      </c>
      <c r="S45" s="142">
        <v>0</v>
      </c>
      <c r="T45" s="142">
        <f t="shared" si="5"/>
        <v>79098385.090000004</v>
      </c>
      <c r="U45" s="142">
        <v>22585410</v>
      </c>
      <c r="V45" s="142">
        <f t="shared" si="6"/>
        <v>56512975.090000004</v>
      </c>
      <c r="W45" s="142">
        <v>0</v>
      </c>
      <c r="X45" s="71">
        <f t="shared" si="7"/>
        <v>56512975.090000004</v>
      </c>
      <c r="Y45" s="142">
        <v>47996250.880000003</v>
      </c>
    </row>
    <row r="46" spans="1:25" s="64" customFormat="1" ht="13.5" customHeight="1" outlineLevel="2">
      <c r="A46" s="67">
        <v>537</v>
      </c>
      <c r="B46" s="68" t="s">
        <v>26</v>
      </c>
      <c r="C46" s="68" t="s">
        <v>103</v>
      </c>
      <c r="D46" s="68" t="s">
        <v>104</v>
      </c>
      <c r="E46" s="68" t="s">
        <v>113</v>
      </c>
      <c r="F46" s="68" t="s">
        <v>114</v>
      </c>
      <c r="G46" s="70">
        <v>1.4</v>
      </c>
      <c r="H46" s="69">
        <v>8824</v>
      </c>
      <c r="I46" s="142">
        <v>1716.4497472801452</v>
      </c>
      <c r="J46" s="142">
        <v>330.21036151405258</v>
      </c>
      <c r="K46" s="132">
        <v>580.39110000000005</v>
      </c>
      <c r="L46" s="132">
        <v>16.4788</v>
      </c>
      <c r="M46" s="132">
        <v>0</v>
      </c>
      <c r="N46" s="142">
        <v>7042.3751705465802</v>
      </c>
      <c r="O46" s="142">
        <v>15145952.57</v>
      </c>
      <c r="P46" s="142">
        <v>2913776.23</v>
      </c>
      <c r="Q46" s="142">
        <v>5722264.3399999999</v>
      </c>
      <c r="R46" s="142">
        <v>158196.48000000001</v>
      </c>
      <c r="S46" s="142">
        <v>0</v>
      </c>
      <c r="T46" s="142">
        <f t="shared" si="5"/>
        <v>23940189.620000001</v>
      </c>
      <c r="U46" s="142">
        <v>15304611</v>
      </c>
      <c r="V46" s="142">
        <f t="shared" si="6"/>
        <v>8635578.6199999992</v>
      </c>
      <c r="W46" s="142">
        <v>12276632.779999999</v>
      </c>
      <c r="X46" s="71">
        <f t="shared" si="7"/>
        <v>20912211.399999999</v>
      </c>
      <c r="Y46" s="142">
        <v>20912211.399999999</v>
      </c>
    </row>
    <row r="47" spans="1:25" s="64" customFormat="1" ht="13.5" customHeight="1" outlineLevel="2">
      <c r="A47" s="67">
        <v>538</v>
      </c>
      <c r="B47" s="68" t="s">
        <v>26</v>
      </c>
      <c r="C47" s="68" t="s">
        <v>103</v>
      </c>
      <c r="D47" s="68" t="s">
        <v>104</v>
      </c>
      <c r="E47" s="68" t="s">
        <v>115</v>
      </c>
      <c r="F47" s="68" t="s">
        <v>116</v>
      </c>
      <c r="G47" s="70">
        <v>1.35</v>
      </c>
      <c r="H47" s="69">
        <v>18132</v>
      </c>
      <c r="I47" s="142">
        <v>1583.7917328480034</v>
      </c>
      <c r="J47" s="142">
        <v>304.68963103904696</v>
      </c>
      <c r="K47" s="132">
        <v>1000.0644</v>
      </c>
      <c r="L47" s="132">
        <v>22.388000000000002</v>
      </c>
      <c r="M47" s="132">
        <v>0</v>
      </c>
      <c r="N47" s="142">
        <v>7042.3751705465802</v>
      </c>
      <c r="O47" s="142">
        <v>28717311.699999999</v>
      </c>
      <c r="P47" s="142">
        <v>5524632.3899999997</v>
      </c>
      <c r="Q47" s="142">
        <v>9507818.4600000009</v>
      </c>
      <c r="R47" s="142">
        <v>214924.79999999999</v>
      </c>
      <c r="S47" s="142">
        <v>0</v>
      </c>
      <c r="T47" s="142">
        <f t="shared" si="5"/>
        <v>43964687.350000001</v>
      </c>
      <c r="U47" s="142">
        <v>20355347</v>
      </c>
      <c r="V47" s="142">
        <f t="shared" si="6"/>
        <v>23609340.350000001</v>
      </c>
      <c r="W47" s="142">
        <v>0</v>
      </c>
      <c r="X47" s="71">
        <f t="shared" si="7"/>
        <v>23609340.350000001</v>
      </c>
      <c r="Y47" s="142">
        <v>22370636.469999999</v>
      </c>
    </row>
    <row r="48" spans="1:25" s="64" customFormat="1" ht="13.5" customHeight="1" outlineLevel="2">
      <c r="A48" s="67">
        <v>539</v>
      </c>
      <c r="B48" s="68" t="s">
        <v>26</v>
      </c>
      <c r="C48" s="68" t="s">
        <v>103</v>
      </c>
      <c r="D48" s="68" t="s">
        <v>104</v>
      </c>
      <c r="E48" s="68" t="s">
        <v>117</v>
      </c>
      <c r="F48" s="68" t="s">
        <v>118</v>
      </c>
      <c r="G48" s="70">
        <v>1.3</v>
      </c>
      <c r="H48" s="69">
        <v>21233</v>
      </c>
      <c r="I48" s="142">
        <v>1551.6953638204682</v>
      </c>
      <c r="J48" s="142">
        <v>298.51493618424149</v>
      </c>
      <c r="K48" s="132">
        <v>1445.2726</v>
      </c>
      <c r="L48" s="132">
        <v>20.837199999999999</v>
      </c>
      <c r="M48" s="132">
        <v>3.6461000000000001</v>
      </c>
      <c r="N48" s="142">
        <v>7042.3751705465802</v>
      </c>
      <c r="O48" s="142">
        <v>32947147.66</v>
      </c>
      <c r="P48" s="142">
        <v>6338367.6399999997</v>
      </c>
      <c r="Q48" s="142">
        <v>13231597.58</v>
      </c>
      <c r="R48" s="142">
        <v>200037.12</v>
      </c>
      <c r="S48" s="142">
        <v>32814.9</v>
      </c>
      <c r="T48" s="142">
        <f t="shared" si="5"/>
        <v>52749964.899999999</v>
      </c>
      <c r="U48" s="142">
        <v>25034282</v>
      </c>
      <c r="V48" s="142">
        <f t="shared" si="6"/>
        <v>27715682.899999999</v>
      </c>
      <c r="W48" s="142">
        <v>1094420.1200000001</v>
      </c>
      <c r="X48" s="71">
        <f t="shared" si="7"/>
        <v>28810103.02</v>
      </c>
      <c r="Y48" s="142">
        <v>28810103.02</v>
      </c>
    </row>
    <row r="49" spans="1:25" s="64" customFormat="1" ht="13.5" customHeight="1" outlineLevel="2">
      <c r="A49" s="67">
        <v>540</v>
      </c>
      <c r="B49" s="68" t="s">
        <v>26</v>
      </c>
      <c r="C49" s="68" t="s">
        <v>103</v>
      </c>
      <c r="D49" s="68" t="s">
        <v>104</v>
      </c>
      <c r="E49" s="68" t="s">
        <v>119</v>
      </c>
      <c r="F49" s="68" t="s">
        <v>120</v>
      </c>
      <c r="G49" s="70">
        <v>1.1000000000000001</v>
      </c>
      <c r="H49" s="69">
        <v>86991</v>
      </c>
      <c r="I49" s="142">
        <v>1110.0615077421803</v>
      </c>
      <c r="J49" s="142">
        <v>213.55347691140466</v>
      </c>
      <c r="K49" s="132">
        <v>5484.8693000000003</v>
      </c>
      <c r="L49" s="132">
        <v>83.618700000000004</v>
      </c>
      <c r="M49" s="132">
        <v>3.7113</v>
      </c>
      <c r="N49" s="142">
        <v>7042.3751705465802</v>
      </c>
      <c r="O49" s="142">
        <v>96565360.620000005</v>
      </c>
      <c r="P49" s="142">
        <v>18577230.510000002</v>
      </c>
      <c r="Q49" s="142">
        <v>42489157.899999999</v>
      </c>
      <c r="R49" s="142">
        <v>802739.52</v>
      </c>
      <c r="S49" s="142">
        <v>33401.699999999997</v>
      </c>
      <c r="T49" s="142">
        <f t="shared" si="5"/>
        <v>158467890.25</v>
      </c>
      <c r="U49" s="142">
        <v>79095048</v>
      </c>
      <c r="V49" s="142">
        <f t="shared" si="6"/>
        <v>79372842.25</v>
      </c>
      <c r="W49" s="142">
        <v>0</v>
      </c>
      <c r="X49" s="71">
        <f t="shared" si="7"/>
        <v>79372842.25</v>
      </c>
      <c r="Y49" s="142">
        <v>76273769.379999995</v>
      </c>
    </row>
    <row r="50" spans="1:25" s="64" customFormat="1" ht="13.5" customHeight="1" outlineLevel="2">
      <c r="A50" s="67">
        <v>541</v>
      </c>
      <c r="B50" s="68" t="s">
        <v>26</v>
      </c>
      <c r="C50" s="68" t="s">
        <v>103</v>
      </c>
      <c r="D50" s="68" t="s">
        <v>104</v>
      </c>
      <c r="E50" s="68" t="s">
        <v>121</v>
      </c>
      <c r="F50" s="68" t="s">
        <v>122</v>
      </c>
      <c r="G50" s="70">
        <v>1.3</v>
      </c>
      <c r="H50" s="69">
        <v>26805</v>
      </c>
      <c r="I50" s="142">
        <v>1490.2167871665733</v>
      </c>
      <c r="J50" s="142">
        <v>286.68769632531246</v>
      </c>
      <c r="K50" s="132">
        <v>1525.2987000000001</v>
      </c>
      <c r="L50" s="132">
        <v>46.270600000000002</v>
      </c>
      <c r="M50" s="132">
        <v>0</v>
      </c>
      <c r="N50" s="142">
        <v>7042.3751705465802</v>
      </c>
      <c r="O50" s="142">
        <v>39945260.979999997</v>
      </c>
      <c r="P50" s="142">
        <v>7684663.7000000002</v>
      </c>
      <c r="Q50" s="142">
        <v>13964243.33</v>
      </c>
      <c r="R50" s="142">
        <v>444197.76</v>
      </c>
      <c r="S50" s="142">
        <v>0</v>
      </c>
      <c r="T50" s="142">
        <f t="shared" si="5"/>
        <v>62038365.770000003</v>
      </c>
      <c r="U50" s="142">
        <v>25405209</v>
      </c>
      <c r="V50" s="142">
        <f t="shared" si="6"/>
        <v>36633156.770000003</v>
      </c>
      <c r="W50" s="142">
        <v>0</v>
      </c>
      <c r="X50" s="71">
        <f t="shared" si="7"/>
        <v>36633156.770000003</v>
      </c>
      <c r="Y50" s="142">
        <v>30905605.260000002</v>
      </c>
    </row>
    <row r="51" spans="1:25" s="64" customFormat="1" ht="13.5" customHeight="1" outlineLevel="2">
      <c r="A51" s="67">
        <v>542</v>
      </c>
      <c r="B51" s="68" t="s">
        <v>26</v>
      </c>
      <c r="C51" s="68" t="s">
        <v>103</v>
      </c>
      <c r="D51" s="68" t="s">
        <v>104</v>
      </c>
      <c r="E51" s="68" t="s">
        <v>123</v>
      </c>
      <c r="F51" s="68" t="s">
        <v>124</v>
      </c>
      <c r="G51" s="70">
        <v>1.3</v>
      </c>
      <c r="H51" s="69">
        <v>20120</v>
      </c>
      <c r="I51" s="142">
        <v>1568.0558305168986</v>
      </c>
      <c r="J51" s="142">
        <v>301.66236033797219</v>
      </c>
      <c r="K51" s="132">
        <v>1602.0282999999999</v>
      </c>
      <c r="L51" s="132">
        <v>18.923400000000001</v>
      </c>
      <c r="M51" s="132">
        <v>0</v>
      </c>
      <c r="N51" s="142">
        <v>7042.3751705465802</v>
      </c>
      <c r="O51" s="142">
        <v>31549283.309999999</v>
      </c>
      <c r="P51" s="142">
        <v>6069446.6900000004</v>
      </c>
      <c r="Q51" s="142">
        <v>14666709.689999999</v>
      </c>
      <c r="R51" s="142">
        <v>181664.64000000001</v>
      </c>
      <c r="S51" s="142">
        <v>0</v>
      </c>
      <c r="T51" s="142">
        <f t="shared" si="5"/>
        <v>52467104.329999998</v>
      </c>
      <c r="U51" s="142">
        <v>20300153</v>
      </c>
      <c r="V51" s="142">
        <f t="shared" si="6"/>
        <v>32166951.329999998</v>
      </c>
      <c r="W51" s="142">
        <v>0</v>
      </c>
      <c r="X51" s="71">
        <f t="shared" si="7"/>
        <v>32166951.329999998</v>
      </c>
      <c r="Y51" s="142">
        <v>29194127.82</v>
      </c>
    </row>
    <row r="52" spans="1:25" s="64" customFormat="1" ht="13.5" customHeight="1" outlineLevel="2">
      <c r="A52" s="67">
        <v>543</v>
      </c>
      <c r="B52" s="68" t="s">
        <v>26</v>
      </c>
      <c r="C52" s="68" t="s">
        <v>103</v>
      </c>
      <c r="D52" s="68" t="s">
        <v>104</v>
      </c>
      <c r="E52" s="68" t="s">
        <v>125</v>
      </c>
      <c r="F52" s="68" t="s">
        <v>126</v>
      </c>
      <c r="G52" s="70">
        <v>1.25</v>
      </c>
      <c r="H52" s="69">
        <v>32222</v>
      </c>
      <c r="I52" s="142">
        <v>1438.4591595804109</v>
      </c>
      <c r="J52" s="142">
        <v>276.73057103842098</v>
      </c>
      <c r="K52" s="132">
        <v>1936.6090999999999</v>
      </c>
      <c r="L52" s="132">
        <v>38.115400000000001</v>
      </c>
      <c r="M52" s="132">
        <v>0</v>
      </c>
      <c r="N52" s="142">
        <v>7042.3751705465802</v>
      </c>
      <c r="O52" s="142">
        <v>46350031.039999999</v>
      </c>
      <c r="P52" s="142">
        <v>8916812.4600000009</v>
      </c>
      <c r="Q52" s="142">
        <v>17047909.98</v>
      </c>
      <c r="R52" s="142">
        <v>365907.84</v>
      </c>
      <c r="S52" s="142">
        <v>0</v>
      </c>
      <c r="T52" s="142">
        <f t="shared" si="5"/>
        <v>72680661.319999993</v>
      </c>
      <c r="U52" s="142">
        <v>23058058</v>
      </c>
      <c r="V52" s="142">
        <f t="shared" si="6"/>
        <v>49622603.32</v>
      </c>
      <c r="W52" s="142">
        <v>0</v>
      </c>
      <c r="X52" s="71">
        <f t="shared" si="7"/>
        <v>49622603.32</v>
      </c>
      <c r="Y52" s="142">
        <v>45976899.130000003</v>
      </c>
    </row>
    <row r="53" spans="1:25" s="64" customFormat="1" ht="13.5" customHeight="1" outlineLevel="2">
      <c r="A53" s="67">
        <v>544</v>
      </c>
      <c r="B53" s="68" t="s">
        <v>26</v>
      </c>
      <c r="C53" s="68" t="s">
        <v>103</v>
      </c>
      <c r="D53" s="68" t="s">
        <v>104</v>
      </c>
      <c r="E53" s="68" t="s">
        <v>127</v>
      </c>
      <c r="F53" s="68" t="s">
        <v>128</v>
      </c>
      <c r="G53" s="70">
        <v>1.2</v>
      </c>
      <c r="H53" s="69">
        <v>41779</v>
      </c>
      <c r="I53" s="142">
        <v>1351.8456932908878</v>
      </c>
      <c r="J53" s="142">
        <v>260.06788458316379</v>
      </c>
      <c r="K53" s="132">
        <v>2521.5257000000001</v>
      </c>
      <c r="L53" s="132">
        <v>76.670299999999997</v>
      </c>
      <c r="M53" s="132">
        <v>7.5739999999999998</v>
      </c>
      <c r="N53" s="142">
        <v>7042.3751705465802</v>
      </c>
      <c r="O53" s="142">
        <v>56478761.219999999</v>
      </c>
      <c r="P53" s="142">
        <v>10865376.15</v>
      </c>
      <c r="Q53" s="142">
        <v>21309035.699999999</v>
      </c>
      <c r="R53" s="142">
        <v>736034.88</v>
      </c>
      <c r="S53" s="142">
        <v>68166</v>
      </c>
      <c r="T53" s="142">
        <f t="shared" si="5"/>
        <v>89457373.950000003</v>
      </c>
      <c r="U53" s="142">
        <v>39061027</v>
      </c>
      <c r="V53" s="142">
        <f t="shared" si="6"/>
        <v>50396346.950000003</v>
      </c>
      <c r="W53" s="142">
        <v>0</v>
      </c>
      <c r="X53" s="71">
        <f t="shared" si="7"/>
        <v>50396346.950000003</v>
      </c>
      <c r="Y53" s="142">
        <v>47681412.18</v>
      </c>
    </row>
    <row r="54" spans="1:25" s="64" customFormat="1" ht="13.5" customHeight="1" outlineLevel="2">
      <c r="A54" s="67">
        <v>545</v>
      </c>
      <c r="B54" s="68" t="s">
        <v>26</v>
      </c>
      <c r="C54" s="68" t="s">
        <v>103</v>
      </c>
      <c r="D54" s="68" t="s">
        <v>104</v>
      </c>
      <c r="E54" s="68" t="s">
        <v>129</v>
      </c>
      <c r="F54" s="68" t="s">
        <v>130</v>
      </c>
      <c r="G54" s="70">
        <v>1.25</v>
      </c>
      <c r="H54" s="69">
        <v>31384</v>
      </c>
      <c r="I54" s="142">
        <v>1448.1234151159827</v>
      </c>
      <c r="J54" s="142">
        <v>278.58977918684684</v>
      </c>
      <c r="K54" s="132">
        <v>1906.1126999999999</v>
      </c>
      <c r="L54" s="132">
        <v>44.612099999999998</v>
      </c>
      <c r="M54" s="132">
        <v>0</v>
      </c>
      <c r="N54" s="142">
        <v>7042.3751705465802</v>
      </c>
      <c r="O54" s="142">
        <v>45447905.259999998</v>
      </c>
      <c r="P54" s="142">
        <v>8743261.6300000008</v>
      </c>
      <c r="Q54" s="142">
        <v>16779451.109999999</v>
      </c>
      <c r="R54" s="142">
        <v>428276.16</v>
      </c>
      <c r="S54" s="142">
        <v>0</v>
      </c>
      <c r="T54" s="142">
        <f t="shared" si="5"/>
        <v>71398894.159999996</v>
      </c>
      <c r="U54" s="142">
        <v>23223646</v>
      </c>
      <c r="V54" s="142">
        <f t="shared" si="6"/>
        <v>48175248.159999996</v>
      </c>
      <c r="W54" s="142">
        <v>0</v>
      </c>
      <c r="X54" s="71">
        <f t="shared" si="7"/>
        <v>48175248.159999996</v>
      </c>
      <c r="Y54" s="142">
        <v>43026297.390000001</v>
      </c>
    </row>
    <row r="55" spans="1:25" s="64" customFormat="1" ht="13.5" customHeight="1" outlineLevel="2">
      <c r="A55" s="67">
        <v>546</v>
      </c>
      <c r="B55" s="68" t="s">
        <v>26</v>
      </c>
      <c r="C55" s="68" t="s">
        <v>103</v>
      </c>
      <c r="D55" s="68" t="s">
        <v>104</v>
      </c>
      <c r="E55" s="68" t="s">
        <v>131</v>
      </c>
      <c r="F55" s="68" t="s">
        <v>132</v>
      </c>
      <c r="G55" s="70">
        <v>1.35</v>
      </c>
      <c r="H55" s="69">
        <v>19972</v>
      </c>
      <c r="I55" s="142">
        <v>1570.1171645303425</v>
      </c>
      <c r="J55" s="142">
        <v>302.0589194872822</v>
      </c>
      <c r="K55" s="132">
        <v>1040.8338000000001</v>
      </c>
      <c r="L55" s="132">
        <v>28.459700000000002</v>
      </c>
      <c r="M55" s="132">
        <v>0</v>
      </c>
      <c r="N55" s="142">
        <v>7042.3751705465802</v>
      </c>
      <c r="O55" s="142">
        <v>31358380.010000002</v>
      </c>
      <c r="P55" s="142">
        <v>6032720.7400000002</v>
      </c>
      <c r="Q55" s="142">
        <v>9895421.6400000006</v>
      </c>
      <c r="R55" s="142">
        <v>273213.12</v>
      </c>
      <c r="S55" s="142">
        <v>0</v>
      </c>
      <c r="T55" s="142">
        <f t="shared" si="5"/>
        <v>47559735.509999998</v>
      </c>
      <c r="U55" s="142">
        <v>18781169</v>
      </c>
      <c r="V55" s="142">
        <f t="shared" si="6"/>
        <v>28778566.510000002</v>
      </c>
      <c r="W55" s="142">
        <v>0</v>
      </c>
      <c r="X55" s="71">
        <f t="shared" si="7"/>
        <v>28778566.510000002</v>
      </c>
      <c r="Y55" s="142">
        <v>28762598.969999999</v>
      </c>
    </row>
    <row r="56" spans="1:25" s="64" customFormat="1" ht="13.5" customHeight="1" outlineLevel="1">
      <c r="A56" s="143"/>
      <c r="B56" s="144"/>
      <c r="C56" s="144"/>
      <c r="D56" s="145" t="s">
        <v>282</v>
      </c>
      <c r="E56" s="144"/>
      <c r="F56" s="144"/>
      <c r="G56" s="150"/>
      <c r="H56" s="146">
        <f>SUBTOTAL(9,H42:H55)</f>
        <v>503202</v>
      </c>
      <c r="I56" s="146"/>
      <c r="J56" s="146"/>
      <c r="K56" s="151">
        <f t="shared" ref="K56:Y56" si="9">SUBTOTAL(9,K42:K55)</f>
        <v>66224.734999999986</v>
      </c>
      <c r="L56" s="151">
        <f t="shared" si="9"/>
        <v>1438.2457999999999</v>
      </c>
      <c r="M56" s="151">
        <f t="shared" si="9"/>
        <v>3511.6509999999998</v>
      </c>
      <c r="N56" s="146"/>
      <c r="O56" s="147">
        <f t="shared" si="9"/>
        <v>669487983.55000007</v>
      </c>
      <c r="P56" s="147">
        <f t="shared" si="9"/>
        <v>128796004.24999999</v>
      </c>
      <c r="Q56" s="147">
        <f t="shared" si="9"/>
        <v>536208484.96999991</v>
      </c>
      <c r="R56" s="147">
        <f t="shared" si="9"/>
        <v>13807159.68</v>
      </c>
      <c r="S56" s="147">
        <f t="shared" si="9"/>
        <v>31604858.999999996</v>
      </c>
      <c r="T56" s="147">
        <f t="shared" si="9"/>
        <v>1379904491.45</v>
      </c>
      <c r="U56" s="147">
        <f t="shared" si="9"/>
        <v>595884372</v>
      </c>
      <c r="V56" s="147">
        <f t="shared" si="9"/>
        <v>784020119.45000005</v>
      </c>
      <c r="W56" s="147">
        <f t="shared" si="9"/>
        <v>18466095.879999999</v>
      </c>
      <c r="X56" s="147">
        <f t="shared" si="9"/>
        <v>802486215.33000004</v>
      </c>
      <c r="Y56" s="147">
        <f t="shared" si="9"/>
        <v>763462653.02999997</v>
      </c>
    </row>
    <row r="57" spans="1:25" s="64" customFormat="1" ht="13.5" customHeight="1" outlineLevel="2">
      <c r="A57" s="67">
        <v>547</v>
      </c>
      <c r="B57" s="68" t="s">
        <v>26</v>
      </c>
      <c r="C57" s="68" t="s">
        <v>133</v>
      </c>
      <c r="D57" s="68" t="s">
        <v>134</v>
      </c>
      <c r="E57" s="68" t="s">
        <v>135</v>
      </c>
      <c r="F57" s="68" t="s">
        <v>136</v>
      </c>
      <c r="G57" s="70">
        <v>1.1000000000000001</v>
      </c>
      <c r="H57" s="69">
        <v>113857</v>
      </c>
      <c r="I57" s="142">
        <v>1025.1564892804131</v>
      </c>
      <c r="J57" s="142">
        <v>199.33537841327279</v>
      </c>
      <c r="K57" s="132">
        <v>25036.7287</v>
      </c>
      <c r="L57" s="132">
        <v>802.25710000000004</v>
      </c>
      <c r="M57" s="132">
        <v>771.60400000000004</v>
      </c>
      <c r="N57" s="142">
        <v>7042.3751705465802</v>
      </c>
      <c r="O57" s="142">
        <v>116721242.40000001</v>
      </c>
      <c r="P57" s="142">
        <v>22695728.18</v>
      </c>
      <c r="Q57" s="142">
        <v>193949840.41</v>
      </c>
      <c r="R57" s="142">
        <v>7701668.1600000001</v>
      </c>
      <c r="S57" s="142">
        <v>6944436</v>
      </c>
      <c r="T57" s="142">
        <f t="shared" si="5"/>
        <v>348012915.14999998</v>
      </c>
      <c r="U57" s="142">
        <v>208014576</v>
      </c>
      <c r="V57" s="142">
        <f t="shared" si="6"/>
        <v>139998339.15000001</v>
      </c>
      <c r="W57" s="142">
        <v>305889.76</v>
      </c>
      <c r="X57" s="71">
        <f t="shared" si="7"/>
        <v>140304228.91</v>
      </c>
      <c r="Y57" s="142">
        <v>140304228.91</v>
      </c>
    </row>
    <row r="58" spans="1:25" s="64" customFormat="1" ht="13.5" customHeight="1" outlineLevel="2">
      <c r="A58" s="67">
        <v>548</v>
      </c>
      <c r="B58" s="68" t="s">
        <v>26</v>
      </c>
      <c r="C58" s="68" t="s">
        <v>133</v>
      </c>
      <c r="D58" s="68" t="s">
        <v>134</v>
      </c>
      <c r="E58" s="68" t="s">
        <v>137</v>
      </c>
      <c r="F58" s="68" t="s">
        <v>138</v>
      </c>
      <c r="G58" s="70">
        <v>1.1499999999999999</v>
      </c>
      <c r="H58" s="69">
        <v>58808</v>
      </c>
      <c r="I58" s="142">
        <v>1215.3135923683851</v>
      </c>
      <c r="J58" s="142">
        <v>236.31025829819072</v>
      </c>
      <c r="K58" s="132">
        <v>4158.5572000000002</v>
      </c>
      <c r="L58" s="132">
        <v>72.887799999999999</v>
      </c>
      <c r="M58" s="132">
        <v>0</v>
      </c>
      <c r="N58" s="142">
        <v>7042.3751705465802</v>
      </c>
      <c r="O58" s="142">
        <v>71470161.739999995</v>
      </c>
      <c r="P58" s="142">
        <v>13896933.67</v>
      </c>
      <c r="Q58" s="142">
        <v>33679038.109999999</v>
      </c>
      <c r="R58" s="142">
        <v>699722.88</v>
      </c>
      <c r="S58" s="142">
        <v>0</v>
      </c>
      <c r="T58" s="142">
        <f t="shared" si="5"/>
        <v>119745856.40000001</v>
      </c>
      <c r="U58" s="142">
        <v>59216641</v>
      </c>
      <c r="V58" s="142">
        <f t="shared" si="6"/>
        <v>60529215.399999999</v>
      </c>
      <c r="W58" s="142">
        <v>7456085.5599999996</v>
      </c>
      <c r="X58" s="71">
        <f t="shared" si="7"/>
        <v>67985300.959999993</v>
      </c>
      <c r="Y58" s="142">
        <v>67985300.959999993</v>
      </c>
    </row>
    <row r="59" spans="1:25" s="64" customFormat="1" ht="13.5" customHeight="1" outlineLevel="2">
      <c r="A59" s="67">
        <v>549</v>
      </c>
      <c r="B59" s="68" t="s">
        <v>26</v>
      </c>
      <c r="C59" s="68" t="s">
        <v>133</v>
      </c>
      <c r="D59" s="68" t="s">
        <v>134</v>
      </c>
      <c r="E59" s="68" t="s">
        <v>139</v>
      </c>
      <c r="F59" s="68" t="s">
        <v>140</v>
      </c>
      <c r="G59" s="70">
        <v>1.3</v>
      </c>
      <c r="H59" s="69">
        <v>23615</v>
      </c>
      <c r="I59" s="142">
        <v>1500.3902828710566</v>
      </c>
      <c r="J59" s="142">
        <v>291.74166843108196</v>
      </c>
      <c r="K59" s="132">
        <v>1035.9312</v>
      </c>
      <c r="L59" s="132">
        <v>31.698699999999999</v>
      </c>
      <c r="M59" s="132">
        <v>0</v>
      </c>
      <c r="N59" s="142">
        <v>7042.3751705465802</v>
      </c>
      <c r="O59" s="142">
        <v>35431716.530000001</v>
      </c>
      <c r="P59" s="142">
        <v>6889479.5</v>
      </c>
      <c r="Q59" s="142">
        <v>9484041.2899999991</v>
      </c>
      <c r="R59" s="142">
        <v>304307.52</v>
      </c>
      <c r="S59" s="142">
        <v>0</v>
      </c>
      <c r="T59" s="142">
        <f t="shared" si="5"/>
        <v>52109544.840000004</v>
      </c>
      <c r="U59" s="142">
        <v>27044830</v>
      </c>
      <c r="V59" s="142">
        <f t="shared" si="6"/>
        <v>25064714.84</v>
      </c>
      <c r="W59" s="142">
        <v>0</v>
      </c>
      <c r="X59" s="71">
        <f t="shared" si="7"/>
        <v>25064714.84</v>
      </c>
      <c r="Y59" s="142">
        <v>23663704.07</v>
      </c>
    </row>
    <row r="60" spans="1:25" s="64" customFormat="1" ht="13.5" customHeight="1" outlineLevel="2">
      <c r="A60" s="67">
        <v>550</v>
      </c>
      <c r="B60" s="68" t="s">
        <v>26</v>
      </c>
      <c r="C60" s="68" t="s">
        <v>133</v>
      </c>
      <c r="D60" s="68" t="s">
        <v>134</v>
      </c>
      <c r="E60" s="68" t="s">
        <v>141</v>
      </c>
      <c r="F60" s="68" t="s">
        <v>142</v>
      </c>
      <c r="G60" s="70">
        <v>1.3</v>
      </c>
      <c r="H60" s="69">
        <v>20444</v>
      </c>
      <c r="I60" s="142">
        <v>1541.0543548229309</v>
      </c>
      <c r="J60" s="142">
        <v>299.6485472510272</v>
      </c>
      <c r="K60" s="132">
        <v>1600.0196000000001</v>
      </c>
      <c r="L60" s="132">
        <v>32.459099999999999</v>
      </c>
      <c r="M60" s="132">
        <v>0</v>
      </c>
      <c r="N60" s="142">
        <v>7042.3751705465802</v>
      </c>
      <c r="O60" s="142">
        <v>31505315.23</v>
      </c>
      <c r="P60" s="142">
        <v>6126014.9000000004</v>
      </c>
      <c r="Q60" s="142">
        <v>14648319.939999999</v>
      </c>
      <c r="R60" s="142">
        <v>311607.36</v>
      </c>
      <c r="S60" s="142">
        <v>0</v>
      </c>
      <c r="T60" s="142">
        <f t="shared" si="5"/>
        <v>52591257.43</v>
      </c>
      <c r="U60" s="142">
        <v>21829206</v>
      </c>
      <c r="V60" s="142">
        <f t="shared" si="6"/>
        <v>30762051.43</v>
      </c>
      <c r="W60" s="142">
        <v>0</v>
      </c>
      <c r="X60" s="71">
        <f t="shared" si="7"/>
        <v>30762051.43</v>
      </c>
      <c r="Y60" s="142">
        <v>29145258.460000001</v>
      </c>
    </row>
    <row r="61" spans="1:25" s="64" customFormat="1" ht="13.5" customHeight="1" outlineLevel="2">
      <c r="A61" s="67">
        <v>551</v>
      </c>
      <c r="B61" s="68" t="s">
        <v>26</v>
      </c>
      <c r="C61" s="68" t="s">
        <v>133</v>
      </c>
      <c r="D61" s="68" t="s">
        <v>134</v>
      </c>
      <c r="E61" s="68" t="s">
        <v>143</v>
      </c>
      <c r="F61" s="68" t="s">
        <v>144</v>
      </c>
      <c r="G61" s="70">
        <v>1.1000000000000001</v>
      </c>
      <c r="H61" s="69">
        <v>63858</v>
      </c>
      <c r="I61" s="142">
        <v>1186.4761713489304</v>
      </c>
      <c r="J61" s="142">
        <v>230.70299915437374</v>
      </c>
      <c r="K61" s="132">
        <v>15479.2256</v>
      </c>
      <c r="L61" s="132">
        <v>185.00049999999999</v>
      </c>
      <c r="M61" s="132">
        <v>272.47050000000002</v>
      </c>
      <c r="N61" s="142">
        <v>7042.3751705465802</v>
      </c>
      <c r="O61" s="142">
        <v>75765995.349999994</v>
      </c>
      <c r="P61" s="142">
        <v>14732232.119999999</v>
      </c>
      <c r="Q61" s="142">
        <v>119911565.70999999</v>
      </c>
      <c r="R61" s="142">
        <v>1776004.8</v>
      </c>
      <c r="S61" s="142">
        <v>2452234.5</v>
      </c>
      <c r="T61" s="142">
        <f t="shared" si="5"/>
        <v>214638032.47999999</v>
      </c>
      <c r="U61" s="142">
        <v>101286529</v>
      </c>
      <c r="V61" s="142">
        <f t="shared" si="6"/>
        <v>113351503.48</v>
      </c>
      <c r="W61" s="142">
        <v>15385742.85</v>
      </c>
      <c r="X61" s="71">
        <f t="shared" si="7"/>
        <v>128737246.33</v>
      </c>
      <c r="Y61" s="142">
        <v>128737246.33</v>
      </c>
    </row>
    <row r="62" spans="1:25" s="64" customFormat="1" ht="13.5" customHeight="1" outlineLevel="2">
      <c r="A62" s="67">
        <v>552</v>
      </c>
      <c r="B62" s="68" t="s">
        <v>26</v>
      </c>
      <c r="C62" s="68" t="s">
        <v>133</v>
      </c>
      <c r="D62" s="68" t="s">
        <v>134</v>
      </c>
      <c r="E62" s="68" t="s">
        <v>145</v>
      </c>
      <c r="F62" s="68" t="s">
        <v>146</v>
      </c>
      <c r="G62" s="70">
        <v>1.3</v>
      </c>
      <c r="H62" s="69">
        <v>20258</v>
      </c>
      <c r="I62" s="142">
        <v>1543.83482969691</v>
      </c>
      <c r="J62" s="142">
        <v>300.18919389870672</v>
      </c>
      <c r="K62" s="132">
        <v>764.00919999999996</v>
      </c>
      <c r="L62" s="132">
        <v>14.5219</v>
      </c>
      <c r="M62" s="132">
        <v>0</v>
      </c>
      <c r="N62" s="142">
        <v>7042.3751705465802</v>
      </c>
      <c r="O62" s="142">
        <v>31275005.98</v>
      </c>
      <c r="P62" s="142">
        <v>6081232.6900000004</v>
      </c>
      <c r="Q62" s="142">
        <v>6994571.5300000003</v>
      </c>
      <c r="R62" s="142">
        <v>139410.23999999999</v>
      </c>
      <c r="S62" s="142">
        <v>0</v>
      </c>
      <c r="T62" s="142">
        <f t="shared" si="5"/>
        <v>44490220.439999998</v>
      </c>
      <c r="U62" s="142">
        <v>16595595</v>
      </c>
      <c r="V62" s="142">
        <f t="shared" si="6"/>
        <v>27894625.440000001</v>
      </c>
      <c r="W62" s="142">
        <v>0</v>
      </c>
      <c r="X62" s="71">
        <f t="shared" si="7"/>
        <v>27894625.440000001</v>
      </c>
      <c r="Y62" s="142">
        <v>23142609.149999999</v>
      </c>
    </row>
    <row r="63" spans="1:25" s="64" customFormat="1" ht="13.5" customHeight="1" outlineLevel="2">
      <c r="A63" s="67">
        <v>553</v>
      </c>
      <c r="B63" s="68" t="s">
        <v>26</v>
      </c>
      <c r="C63" s="68" t="s">
        <v>133</v>
      </c>
      <c r="D63" s="68" t="s">
        <v>134</v>
      </c>
      <c r="E63" s="68" t="s">
        <v>147</v>
      </c>
      <c r="F63" s="68" t="s">
        <v>148</v>
      </c>
      <c r="G63" s="70">
        <v>1.35</v>
      </c>
      <c r="H63" s="69">
        <v>11935</v>
      </c>
      <c r="I63" s="142">
        <v>1637.4258592375365</v>
      </c>
      <c r="J63" s="142">
        <v>318.38739421868451</v>
      </c>
      <c r="K63" s="132">
        <v>747.43359999999996</v>
      </c>
      <c r="L63" s="132">
        <v>16.221900000000002</v>
      </c>
      <c r="M63" s="132">
        <v>0</v>
      </c>
      <c r="N63" s="142">
        <v>7042.3751705465802</v>
      </c>
      <c r="O63" s="142">
        <v>19542677.629999999</v>
      </c>
      <c r="P63" s="142">
        <v>3799953.55</v>
      </c>
      <c r="Q63" s="142">
        <v>7106005.8499999996</v>
      </c>
      <c r="R63" s="142">
        <v>155730.23999999999</v>
      </c>
      <c r="S63" s="142">
        <v>0</v>
      </c>
      <c r="T63" s="142">
        <f t="shared" si="5"/>
        <v>30604367.27</v>
      </c>
      <c r="U63" s="142">
        <v>11433521</v>
      </c>
      <c r="V63" s="142">
        <f t="shared" si="6"/>
        <v>19170846.27</v>
      </c>
      <c r="W63" s="142">
        <v>0</v>
      </c>
      <c r="X63" s="71">
        <f t="shared" si="7"/>
        <v>19170846.27</v>
      </c>
      <c r="Y63" s="142">
        <v>14052343.65</v>
      </c>
    </row>
    <row r="64" spans="1:25" s="64" customFormat="1" ht="13.5" customHeight="1" outlineLevel="2">
      <c r="A64" s="67">
        <v>554</v>
      </c>
      <c r="B64" s="68" t="s">
        <v>26</v>
      </c>
      <c r="C64" s="68" t="s">
        <v>133</v>
      </c>
      <c r="D64" s="68" t="s">
        <v>134</v>
      </c>
      <c r="E64" s="68" t="s">
        <v>149</v>
      </c>
      <c r="F64" s="68" t="s">
        <v>150</v>
      </c>
      <c r="G64" s="70">
        <v>1.25</v>
      </c>
      <c r="H64" s="69">
        <v>36734</v>
      </c>
      <c r="I64" s="142">
        <v>1374.3338280611968</v>
      </c>
      <c r="J64" s="142">
        <v>267.23076577557572</v>
      </c>
      <c r="K64" s="132">
        <v>1199.5108</v>
      </c>
      <c r="L64" s="132">
        <v>26.208500000000001</v>
      </c>
      <c r="M64" s="132">
        <v>0</v>
      </c>
      <c r="N64" s="142">
        <v>7042.3751705465802</v>
      </c>
      <c r="O64" s="142">
        <v>50484778.840000004</v>
      </c>
      <c r="P64" s="142">
        <v>9816454.9499999993</v>
      </c>
      <c r="Q64" s="142">
        <v>10559256.34</v>
      </c>
      <c r="R64" s="142">
        <v>251601.6</v>
      </c>
      <c r="S64" s="142">
        <v>0</v>
      </c>
      <c r="T64" s="142">
        <f t="shared" si="5"/>
        <v>71112091.730000004</v>
      </c>
      <c r="U64" s="142">
        <v>17775711</v>
      </c>
      <c r="V64" s="142">
        <f t="shared" si="6"/>
        <v>53336380.729999997</v>
      </c>
      <c r="W64" s="142">
        <v>0</v>
      </c>
      <c r="X64" s="71">
        <f t="shared" si="7"/>
        <v>53336380.729999997</v>
      </c>
      <c r="Y64" s="142">
        <v>48271510.189999998</v>
      </c>
    </row>
    <row r="65" spans="1:25" s="64" customFormat="1" ht="13.5" customHeight="1" outlineLevel="2">
      <c r="A65" s="67">
        <v>555</v>
      </c>
      <c r="B65" s="68" t="s">
        <v>26</v>
      </c>
      <c r="C65" s="68" t="s">
        <v>133</v>
      </c>
      <c r="D65" s="68" t="s">
        <v>134</v>
      </c>
      <c r="E65" s="68" t="s">
        <v>151</v>
      </c>
      <c r="F65" s="68" t="s">
        <v>152</v>
      </c>
      <c r="G65" s="70">
        <v>1.3</v>
      </c>
      <c r="H65" s="69">
        <v>29056</v>
      </c>
      <c r="I65" s="142">
        <v>1451.2968505644274</v>
      </c>
      <c r="J65" s="142">
        <v>282.19575268447136</v>
      </c>
      <c r="K65" s="132">
        <v>756.48389999999995</v>
      </c>
      <c r="L65" s="132">
        <v>16.392700000000001</v>
      </c>
      <c r="M65" s="132">
        <v>0</v>
      </c>
      <c r="N65" s="142">
        <v>7042.3751705465802</v>
      </c>
      <c r="O65" s="142">
        <v>42168881.289999999</v>
      </c>
      <c r="P65" s="142">
        <v>8199479.79</v>
      </c>
      <c r="Q65" s="142">
        <v>6925676.6799999997</v>
      </c>
      <c r="R65" s="142">
        <v>157369.92000000001</v>
      </c>
      <c r="S65" s="142">
        <v>0</v>
      </c>
      <c r="T65" s="142">
        <f t="shared" si="5"/>
        <v>57451407.68</v>
      </c>
      <c r="U65" s="142">
        <v>15437218</v>
      </c>
      <c r="V65" s="142">
        <f t="shared" si="6"/>
        <v>42014189.68</v>
      </c>
      <c r="W65" s="142">
        <v>0</v>
      </c>
      <c r="X65" s="71">
        <f t="shared" si="7"/>
        <v>42014189.68</v>
      </c>
      <c r="Y65" s="142">
        <v>32168260.719999999</v>
      </c>
    </row>
    <row r="66" spans="1:25" s="64" customFormat="1" ht="13.5" customHeight="1" outlineLevel="1">
      <c r="A66" s="143"/>
      <c r="B66" s="144"/>
      <c r="C66" s="144"/>
      <c r="D66" s="145" t="s">
        <v>283</v>
      </c>
      <c r="E66" s="144"/>
      <c r="F66" s="144"/>
      <c r="G66" s="150"/>
      <c r="H66" s="146">
        <f>SUBTOTAL(9,H57:H65)</f>
        <v>378565</v>
      </c>
      <c r="I66" s="146"/>
      <c r="J66" s="146"/>
      <c r="K66" s="151">
        <f t="shared" ref="K66:Y66" si="10">SUBTOTAL(9,K57:K65)</f>
        <v>50777.899799999992</v>
      </c>
      <c r="L66" s="151">
        <f t="shared" si="10"/>
        <v>1197.6482000000001</v>
      </c>
      <c r="M66" s="151">
        <f t="shared" si="10"/>
        <v>1044.0745000000002</v>
      </c>
      <c r="N66" s="146"/>
      <c r="O66" s="147">
        <f t="shared" si="10"/>
        <v>474365774.99000007</v>
      </c>
      <c r="P66" s="147">
        <f t="shared" si="10"/>
        <v>92237509.350000009</v>
      </c>
      <c r="Q66" s="147">
        <f t="shared" si="10"/>
        <v>403258315.85999995</v>
      </c>
      <c r="R66" s="147">
        <f t="shared" si="10"/>
        <v>11497422.720000001</v>
      </c>
      <c r="S66" s="147">
        <f t="shared" si="10"/>
        <v>9396670.5</v>
      </c>
      <c r="T66" s="147">
        <f t="shared" si="10"/>
        <v>990755693.41999996</v>
      </c>
      <c r="U66" s="147">
        <f t="shared" si="10"/>
        <v>478633827</v>
      </c>
      <c r="V66" s="147">
        <f t="shared" si="10"/>
        <v>512121866.42000002</v>
      </c>
      <c r="W66" s="147">
        <f t="shared" si="10"/>
        <v>23147718.169999998</v>
      </c>
      <c r="X66" s="147">
        <f t="shared" si="10"/>
        <v>535269584.59000003</v>
      </c>
      <c r="Y66" s="147">
        <f t="shared" si="10"/>
        <v>507470462.43999994</v>
      </c>
    </row>
    <row r="67" spans="1:25" s="64" customFormat="1" ht="13.5" customHeight="1" outlineLevel="2">
      <c r="A67" s="67">
        <v>556</v>
      </c>
      <c r="B67" s="68" t="s">
        <v>26</v>
      </c>
      <c r="C67" s="68" t="s">
        <v>153</v>
      </c>
      <c r="D67" s="68" t="s">
        <v>154</v>
      </c>
      <c r="E67" s="68" t="s">
        <v>155</v>
      </c>
      <c r="F67" s="68" t="s">
        <v>156</v>
      </c>
      <c r="G67" s="70">
        <v>1.05</v>
      </c>
      <c r="H67" s="69">
        <v>144119</v>
      </c>
      <c r="I67" s="142">
        <v>933.61620077852342</v>
      </c>
      <c r="J67" s="142">
        <v>186.95914320804337</v>
      </c>
      <c r="K67" s="132">
        <v>64935.822200000002</v>
      </c>
      <c r="L67" s="132">
        <v>1697.0589</v>
      </c>
      <c r="M67" s="132">
        <v>3289.3168000000001</v>
      </c>
      <c r="N67" s="142">
        <v>7042.3751705465802</v>
      </c>
      <c r="O67" s="142">
        <v>134551833.24000001</v>
      </c>
      <c r="P67" s="142">
        <v>26944364.760000002</v>
      </c>
      <c r="Q67" s="142">
        <v>480167542.97000003</v>
      </c>
      <c r="R67" s="142">
        <v>16291765.439999999</v>
      </c>
      <c r="S67" s="142">
        <v>29603851.199999999</v>
      </c>
      <c r="T67" s="142">
        <f t="shared" si="5"/>
        <v>687559357.61000001</v>
      </c>
      <c r="U67" s="142">
        <v>323766736</v>
      </c>
      <c r="V67" s="142">
        <f t="shared" si="6"/>
        <v>363792621.61000001</v>
      </c>
      <c r="W67" s="142">
        <v>0</v>
      </c>
      <c r="X67" s="71">
        <f t="shared" si="7"/>
        <v>363792621.61000001</v>
      </c>
      <c r="Y67" s="142">
        <v>335430338.27999997</v>
      </c>
    </row>
    <row r="68" spans="1:25" s="64" customFormat="1" ht="13.5" customHeight="1" outlineLevel="2">
      <c r="A68" s="67">
        <v>557</v>
      </c>
      <c r="B68" s="68" t="s">
        <v>26</v>
      </c>
      <c r="C68" s="68" t="s">
        <v>153</v>
      </c>
      <c r="D68" s="68" t="s">
        <v>154</v>
      </c>
      <c r="E68" s="68" t="s">
        <v>157</v>
      </c>
      <c r="F68" s="68" t="s">
        <v>158</v>
      </c>
      <c r="G68" s="70">
        <v>1.25</v>
      </c>
      <c r="H68" s="69">
        <v>35944</v>
      </c>
      <c r="I68" s="142">
        <v>1329.90210021144</v>
      </c>
      <c r="J68" s="142">
        <v>266.31645531938568</v>
      </c>
      <c r="K68" s="132">
        <v>1801.1591000000001</v>
      </c>
      <c r="L68" s="132">
        <v>37.211599999999997</v>
      </c>
      <c r="M68" s="132">
        <v>0</v>
      </c>
      <c r="N68" s="142">
        <v>7042.3751705465802</v>
      </c>
      <c r="O68" s="142">
        <v>47802001.090000004</v>
      </c>
      <c r="P68" s="142">
        <v>9572478.6699999999</v>
      </c>
      <c r="Q68" s="142">
        <v>15855547.83</v>
      </c>
      <c r="R68" s="142">
        <v>357231.35999999999</v>
      </c>
      <c r="S68" s="142">
        <v>0</v>
      </c>
      <c r="T68" s="142">
        <f t="shared" si="5"/>
        <v>73587258.950000003</v>
      </c>
      <c r="U68" s="142">
        <v>25518937</v>
      </c>
      <c r="V68" s="142">
        <f t="shared" si="6"/>
        <v>48068321.950000003</v>
      </c>
      <c r="W68" s="142">
        <v>0</v>
      </c>
      <c r="X68" s="71">
        <f t="shared" si="7"/>
        <v>48068321.950000003</v>
      </c>
      <c r="Y68" s="142">
        <v>40614513.039999999</v>
      </c>
    </row>
    <row r="69" spans="1:25" s="64" customFormat="1" ht="13.5" customHeight="1" outlineLevel="2">
      <c r="A69" s="67">
        <v>558</v>
      </c>
      <c r="B69" s="68" t="s">
        <v>26</v>
      </c>
      <c r="C69" s="68" t="s">
        <v>153</v>
      </c>
      <c r="D69" s="68" t="s">
        <v>154</v>
      </c>
      <c r="E69" s="68" t="s">
        <v>159</v>
      </c>
      <c r="F69" s="68" t="s">
        <v>160</v>
      </c>
      <c r="G69" s="70">
        <v>1.3</v>
      </c>
      <c r="H69" s="69">
        <v>24067</v>
      </c>
      <c r="I69" s="142">
        <v>1439.9110337806956</v>
      </c>
      <c r="J69" s="142">
        <v>288.34603897452945</v>
      </c>
      <c r="K69" s="132">
        <v>1380.0408</v>
      </c>
      <c r="L69" s="132">
        <v>11.3102</v>
      </c>
      <c r="M69" s="132">
        <v>0</v>
      </c>
      <c r="N69" s="142">
        <v>7042.3751705465802</v>
      </c>
      <c r="O69" s="142">
        <v>34654338.850000001</v>
      </c>
      <c r="P69" s="142">
        <v>6939624.1200000001</v>
      </c>
      <c r="Q69" s="142">
        <v>12634394.300000001</v>
      </c>
      <c r="R69" s="142">
        <v>108577.92</v>
      </c>
      <c r="S69" s="142">
        <v>0</v>
      </c>
      <c r="T69" s="142">
        <f t="shared" si="5"/>
        <v>54336935.189999998</v>
      </c>
      <c r="U69" s="142">
        <v>23543178</v>
      </c>
      <c r="V69" s="142">
        <f t="shared" si="6"/>
        <v>30793757.190000001</v>
      </c>
      <c r="W69" s="142">
        <v>0</v>
      </c>
      <c r="X69" s="71">
        <f t="shared" si="7"/>
        <v>30793757.190000001</v>
      </c>
      <c r="Y69" s="142">
        <v>27603016.539999999</v>
      </c>
    </row>
    <row r="70" spans="1:25" s="64" customFormat="1" ht="13.5" customHeight="1" outlineLevel="2">
      <c r="A70" s="67">
        <v>559</v>
      </c>
      <c r="B70" s="68" t="s">
        <v>26</v>
      </c>
      <c r="C70" s="68" t="s">
        <v>153</v>
      </c>
      <c r="D70" s="68" t="s">
        <v>154</v>
      </c>
      <c r="E70" s="68" t="s">
        <v>161</v>
      </c>
      <c r="F70" s="68" t="s">
        <v>162</v>
      </c>
      <c r="G70" s="70">
        <v>1.1499999999999999</v>
      </c>
      <c r="H70" s="69">
        <v>55513</v>
      </c>
      <c r="I70" s="142">
        <v>1189.0749206492173</v>
      </c>
      <c r="J70" s="142">
        <v>238.11543566371842</v>
      </c>
      <c r="K70" s="132">
        <v>3467.9058</v>
      </c>
      <c r="L70" s="132">
        <v>60.6571</v>
      </c>
      <c r="M70" s="132">
        <v>0</v>
      </c>
      <c r="N70" s="142">
        <v>7042.3751705465802</v>
      </c>
      <c r="O70" s="142">
        <v>66009116.07</v>
      </c>
      <c r="P70" s="142">
        <v>13218502.18</v>
      </c>
      <c r="Q70" s="142">
        <v>28085637.969999999</v>
      </c>
      <c r="R70" s="142">
        <v>582308.16</v>
      </c>
      <c r="S70" s="142">
        <v>0</v>
      </c>
      <c r="T70" s="142">
        <f t="shared" si="5"/>
        <v>107895564.38</v>
      </c>
      <c r="U70" s="142">
        <v>53332333</v>
      </c>
      <c r="V70" s="142">
        <f t="shared" si="6"/>
        <v>54563231.380000003</v>
      </c>
      <c r="W70" s="142">
        <v>0</v>
      </c>
      <c r="X70" s="71">
        <f t="shared" si="7"/>
        <v>54563231.380000003</v>
      </c>
      <c r="Y70" s="142">
        <v>49008175.850000001</v>
      </c>
    </row>
    <row r="71" spans="1:25" s="64" customFormat="1" ht="13.5" customHeight="1" outlineLevel="2">
      <c r="A71" s="67">
        <v>560</v>
      </c>
      <c r="B71" s="68" t="s">
        <v>26</v>
      </c>
      <c r="C71" s="68" t="s">
        <v>153</v>
      </c>
      <c r="D71" s="68" t="s">
        <v>154</v>
      </c>
      <c r="E71" s="68" t="s">
        <v>163</v>
      </c>
      <c r="F71" s="68" t="s">
        <v>164</v>
      </c>
      <c r="G71" s="70">
        <v>1.1499999999999999</v>
      </c>
      <c r="H71" s="69">
        <v>39521</v>
      </c>
      <c r="I71" s="142">
        <v>1302.0256587636952</v>
      </c>
      <c r="J71" s="142">
        <v>260.73412337744486</v>
      </c>
      <c r="K71" s="132">
        <v>3996.7566000000002</v>
      </c>
      <c r="L71" s="132">
        <v>116.1169</v>
      </c>
      <c r="M71" s="132">
        <v>0</v>
      </c>
      <c r="N71" s="142">
        <v>7042.3751705465802</v>
      </c>
      <c r="O71" s="142">
        <v>51457356.060000002</v>
      </c>
      <c r="P71" s="142">
        <v>10304473.289999999</v>
      </c>
      <c r="Q71" s="142">
        <v>32368658.43</v>
      </c>
      <c r="R71" s="142">
        <v>1114722.24</v>
      </c>
      <c r="S71" s="142">
        <v>0</v>
      </c>
      <c r="T71" s="142">
        <f t="shared" si="5"/>
        <v>95245210.019999996</v>
      </c>
      <c r="U71" s="142">
        <v>49432336</v>
      </c>
      <c r="V71" s="142">
        <f t="shared" si="6"/>
        <v>45812874.020000003</v>
      </c>
      <c r="W71" s="142">
        <v>0</v>
      </c>
      <c r="X71" s="71">
        <f t="shared" si="7"/>
        <v>45812874.020000003</v>
      </c>
      <c r="Y71" s="142">
        <v>39807852.299999997</v>
      </c>
    </row>
    <row r="72" spans="1:25" s="64" customFormat="1" ht="13.5" customHeight="1" outlineLevel="2">
      <c r="A72" s="67">
        <v>561</v>
      </c>
      <c r="B72" s="68" t="s">
        <v>26</v>
      </c>
      <c r="C72" s="68" t="s">
        <v>153</v>
      </c>
      <c r="D72" s="68" t="s">
        <v>154</v>
      </c>
      <c r="E72" s="68" t="s">
        <v>165</v>
      </c>
      <c r="F72" s="68" t="s">
        <v>166</v>
      </c>
      <c r="G72" s="70">
        <v>1.25</v>
      </c>
      <c r="H72" s="69">
        <v>37339</v>
      </c>
      <c r="I72" s="142">
        <v>1318.3952133158359</v>
      </c>
      <c r="J72" s="142">
        <v>264.01217065266877</v>
      </c>
      <c r="K72" s="132">
        <v>1312.8268</v>
      </c>
      <c r="L72" s="132">
        <v>20.333600000000001</v>
      </c>
      <c r="M72" s="132">
        <v>0</v>
      </c>
      <c r="N72" s="142">
        <v>7042.3751705465802</v>
      </c>
      <c r="O72" s="142">
        <v>49227558.869999997</v>
      </c>
      <c r="P72" s="142">
        <v>9857950.4399999995</v>
      </c>
      <c r="Q72" s="142">
        <v>11556773.57</v>
      </c>
      <c r="R72" s="142">
        <v>195202.56</v>
      </c>
      <c r="S72" s="142">
        <v>0</v>
      </c>
      <c r="T72" s="142">
        <f t="shared" si="5"/>
        <v>70837485.439999998</v>
      </c>
      <c r="U72" s="142">
        <v>29896276</v>
      </c>
      <c r="V72" s="142">
        <f t="shared" si="6"/>
        <v>40941209.439999998</v>
      </c>
      <c r="W72" s="142">
        <v>0</v>
      </c>
      <c r="X72" s="71">
        <f t="shared" si="7"/>
        <v>40941209.439999998</v>
      </c>
      <c r="Y72" s="142">
        <v>36254253.359999999</v>
      </c>
    </row>
    <row r="73" spans="1:25" s="64" customFormat="1" ht="13.5" customHeight="1" outlineLevel="2">
      <c r="A73" s="67">
        <v>562</v>
      </c>
      <c r="B73" s="68" t="s">
        <v>26</v>
      </c>
      <c r="C73" s="68" t="s">
        <v>153</v>
      </c>
      <c r="D73" s="68" t="s">
        <v>154</v>
      </c>
      <c r="E73" s="68" t="s">
        <v>167</v>
      </c>
      <c r="F73" s="68" t="s">
        <v>168</v>
      </c>
      <c r="G73" s="70">
        <v>1.35</v>
      </c>
      <c r="H73" s="69">
        <v>10627</v>
      </c>
      <c r="I73" s="142">
        <v>1602.9433273736706</v>
      </c>
      <c r="J73" s="142">
        <v>320.99369154041591</v>
      </c>
      <c r="K73" s="132">
        <v>416.00130000000001</v>
      </c>
      <c r="L73" s="132">
        <v>6.5098000000000003</v>
      </c>
      <c r="M73" s="132">
        <v>0</v>
      </c>
      <c r="N73" s="142">
        <v>7042.3751705465802</v>
      </c>
      <c r="O73" s="142">
        <v>17034478.739999998</v>
      </c>
      <c r="P73" s="142">
        <v>3411199.96</v>
      </c>
      <c r="Q73" s="142">
        <v>3955010.57</v>
      </c>
      <c r="R73" s="142">
        <v>62494.080000000002</v>
      </c>
      <c r="S73" s="142">
        <v>0</v>
      </c>
      <c r="T73" s="142">
        <f t="shared" si="5"/>
        <v>24463183.350000001</v>
      </c>
      <c r="U73" s="142">
        <v>15240143</v>
      </c>
      <c r="V73" s="142">
        <f t="shared" si="6"/>
        <v>9223040.3499999996</v>
      </c>
      <c r="W73" s="142">
        <v>4555016.3</v>
      </c>
      <c r="X73" s="71">
        <f t="shared" si="7"/>
        <v>13778056.65</v>
      </c>
      <c r="Y73" s="142">
        <v>13778056.65</v>
      </c>
    </row>
    <row r="74" spans="1:25" s="64" customFormat="1" ht="13.5" customHeight="1" outlineLevel="2">
      <c r="A74" s="67">
        <v>563</v>
      </c>
      <c r="B74" s="68" t="s">
        <v>26</v>
      </c>
      <c r="C74" s="68" t="s">
        <v>153</v>
      </c>
      <c r="D74" s="68" t="s">
        <v>154</v>
      </c>
      <c r="E74" s="68" t="s">
        <v>169</v>
      </c>
      <c r="F74" s="68" t="s">
        <v>170</v>
      </c>
      <c r="G74" s="70">
        <v>1.1499999999999999</v>
      </c>
      <c r="H74" s="69">
        <v>92525</v>
      </c>
      <c r="I74" s="142">
        <v>1037.9429557416915</v>
      </c>
      <c r="J74" s="142">
        <v>207.85085512023778</v>
      </c>
      <c r="K74" s="132">
        <v>10181.222100000001</v>
      </c>
      <c r="L74" s="132">
        <v>190.64879999999999</v>
      </c>
      <c r="M74" s="132">
        <v>236.4572</v>
      </c>
      <c r="N74" s="142">
        <v>7042.3751705465802</v>
      </c>
      <c r="O74" s="142">
        <v>96035671.980000004</v>
      </c>
      <c r="P74" s="142">
        <v>19231400.370000001</v>
      </c>
      <c r="Q74" s="142">
        <v>82454983.480000004</v>
      </c>
      <c r="R74" s="142">
        <v>1830228.48</v>
      </c>
      <c r="S74" s="142">
        <v>2128114.7999999998</v>
      </c>
      <c r="T74" s="142">
        <f t="shared" si="5"/>
        <v>201680399.11000001</v>
      </c>
      <c r="U74" s="142">
        <v>74830627</v>
      </c>
      <c r="V74" s="142">
        <f t="shared" si="6"/>
        <v>126849772.11</v>
      </c>
      <c r="W74" s="142">
        <v>0</v>
      </c>
      <c r="X74" s="71">
        <f t="shared" si="7"/>
        <v>126849772.11</v>
      </c>
      <c r="Y74" s="142">
        <v>117148240.28</v>
      </c>
    </row>
    <row r="75" spans="1:25" s="64" customFormat="1" ht="13.5" customHeight="1" outlineLevel="2">
      <c r="A75" s="67">
        <v>564</v>
      </c>
      <c r="B75" s="68" t="s">
        <v>26</v>
      </c>
      <c r="C75" s="68" t="s">
        <v>153</v>
      </c>
      <c r="D75" s="68" t="s">
        <v>154</v>
      </c>
      <c r="E75" s="68" t="s">
        <v>171</v>
      </c>
      <c r="F75" s="68" t="s">
        <v>172</v>
      </c>
      <c r="G75" s="70">
        <v>1.25</v>
      </c>
      <c r="H75" s="69">
        <v>30686</v>
      </c>
      <c r="I75" s="142">
        <v>1382.6769031480155</v>
      </c>
      <c r="J75" s="142">
        <v>276.88475070064527</v>
      </c>
      <c r="K75" s="132">
        <v>1576.0279</v>
      </c>
      <c r="L75" s="132">
        <v>31.1203</v>
      </c>
      <c r="M75" s="132">
        <v>0</v>
      </c>
      <c r="N75" s="142">
        <v>7042.3751705465802</v>
      </c>
      <c r="O75" s="142">
        <v>42428823.450000003</v>
      </c>
      <c r="P75" s="142">
        <v>8496485.4600000009</v>
      </c>
      <c r="Q75" s="142">
        <v>13873724.859999999</v>
      </c>
      <c r="R75" s="142">
        <v>298754.88</v>
      </c>
      <c r="S75" s="142">
        <v>0</v>
      </c>
      <c r="T75" s="142">
        <f t="shared" si="5"/>
        <v>65097788.649999999</v>
      </c>
      <c r="U75" s="142">
        <v>26599910</v>
      </c>
      <c r="V75" s="142">
        <f t="shared" si="6"/>
        <v>38497878.649999999</v>
      </c>
      <c r="W75" s="142">
        <v>0</v>
      </c>
      <c r="X75" s="71">
        <f t="shared" si="7"/>
        <v>38497878.649999999</v>
      </c>
      <c r="Y75" s="142">
        <v>35425794.219999999</v>
      </c>
    </row>
    <row r="76" spans="1:25" s="64" customFormat="1" ht="13.5" customHeight="1" outlineLevel="2">
      <c r="A76" s="67">
        <v>565</v>
      </c>
      <c r="B76" s="68" t="s">
        <v>26</v>
      </c>
      <c r="C76" s="68" t="s">
        <v>153</v>
      </c>
      <c r="D76" s="68" t="s">
        <v>154</v>
      </c>
      <c r="E76" s="68" t="s">
        <v>173</v>
      </c>
      <c r="F76" s="68" t="s">
        <v>174</v>
      </c>
      <c r="G76" s="70">
        <v>1.1499999999999999</v>
      </c>
      <c r="H76" s="69">
        <v>53059</v>
      </c>
      <c r="I76" s="142">
        <v>1204.6838406302418</v>
      </c>
      <c r="J76" s="142">
        <v>241.2411636103206</v>
      </c>
      <c r="K76" s="132">
        <v>2978.4609</v>
      </c>
      <c r="L76" s="132">
        <v>78.653800000000004</v>
      </c>
      <c r="M76" s="132">
        <v>0</v>
      </c>
      <c r="N76" s="142">
        <v>7042.3751705465802</v>
      </c>
      <c r="O76" s="142">
        <v>63919319.899999999</v>
      </c>
      <c r="P76" s="142">
        <v>12800014.9</v>
      </c>
      <c r="Q76" s="142">
        <v>24121754.710000001</v>
      </c>
      <c r="R76" s="142">
        <v>755076.48</v>
      </c>
      <c r="S76" s="142">
        <v>0</v>
      </c>
      <c r="T76" s="142">
        <f t="shared" si="5"/>
        <v>101596165.98999999</v>
      </c>
      <c r="U76" s="142">
        <v>41768850</v>
      </c>
      <c r="V76" s="142">
        <f t="shared" si="6"/>
        <v>59827315.990000002</v>
      </c>
      <c r="W76" s="142">
        <v>436446.13</v>
      </c>
      <c r="X76" s="71">
        <f t="shared" si="7"/>
        <v>60263762.119999997</v>
      </c>
      <c r="Y76" s="142">
        <v>60263762.119999997</v>
      </c>
    </row>
    <row r="77" spans="1:25" s="64" customFormat="1" ht="13.5" customHeight="1" outlineLevel="2">
      <c r="A77" s="67">
        <v>566</v>
      </c>
      <c r="B77" s="68" t="s">
        <v>26</v>
      </c>
      <c r="C77" s="68" t="s">
        <v>153</v>
      </c>
      <c r="D77" s="68" t="s">
        <v>154</v>
      </c>
      <c r="E77" s="68" t="s">
        <v>175</v>
      </c>
      <c r="F77" s="68" t="s">
        <v>176</v>
      </c>
      <c r="G77" s="70">
        <v>1.1499999999999999</v>
      </c>
      <c r="H77" s="69">
        <v>53459</v>
      </c>
      <c r="I77" s="142">
        <v>1202.0418445911821</v>
      </c>
      <c r="J77" s="142">
        <v>240.71209693409904</v>
      </c>
      <c r="K77" s="132">
        <v>4128.3132999999998</v>
      </c>
      <c r="L77" s="132">
        <v>50.147500000000001</v>
      </c>
      <c r="M77" s="132">
        <v>0</v>
      </c>
      <c r="N77" s="142">
        <v>7042.3751705465802</v>
      </c>
      <c r="O77" s="142">
        <v>64259954.969999999</v>
      </c>
      <c r="P77" s="142">
        <v>12868227.99</v>
      </c>
      <c r="Q77" s="142">
        <v>33434100.780000001</v>
      </c>
      <c r="R77" s="142">
        <v>481416</v>
      </c>
      <c r="S77" s="142">
        <v>0</v>
      </c>
      <c r="T77" s="142">
        <f t="shared" si="5"/>
        <v>111043699.73999999</v>
      </c>
      <c r="U77" s="142">
        <v>51639122</v>
      </c>
      <c r="V77" s="142">
        <f t="shared" si="6"/>
        <v>59404577.740000002</v>
      </c>
      <c r="W77" s="142">
        <v>0</v>
      </c>
      <c r="X77" s="71">
        <f t="shared" si="7"/>
        <v>59404577.740000002</v>
      </c>
      <c r="Y77" s="142">
        <v>56581134.960000001</v>
      </c>
    </row>
    <row r="78" spans="1:25" s="64" customFormat="1" ht="13.5" customHeight="1" outlineLevel="2">
      <c r="A78" s="67">
        <v>567</v>
      </c>
      <c r="B78" s="68" t="s">
        <v>26</v>
      </c>
      <c r="C78" s="68" t="s">
        <v>153</v>
      </c>
      <c r="D78" s="68" t="s">
        <v>154</v>
      </c>
      <c r="E78" s="68" t="s">
        <v>177</v>
      </c>
      <c r="F78" s="68" t="s">
        <v>178</v>
      </c>
      <c r="G78" s="70">
        <v>1.3</v>
      </c>
      <c r="H78" s="69">
        <v>26548</v>
      </c>
      <c r="I78" s="142">
        <v>1416.7637302244989</v>
      </c>
      <c r="J78" s="142">
        <v>283.7107292451409</v>
      </c>
      <c r="K78" s="132">
        <v>1494.0741</v>
      </c>
      <c r="L78" s="132">
        <v>23.474</v>
      </c>
      <c r="M78" s="132">
        <v>0</v>
      </c>
      <c r="N78" s="142">
        <v>7042.3751705465802</v>
      </c>
      <c r="O78" s="142">
        <v>37612243.509999998</v>
      </c>
      <c r="P78" s="142">
        <v>7531952.4400000004</v>
      </c>
      <c r="Q78" s="142">
        <v>13678379.24</v>
      </c>
      <c r="R78" s="142">
        <v>225350.39999999999</v>
      </c>
      <c r="S78" s="142">
        <v>0</v>
      </c>
      <c r="T78" s="142">
        <f t="shared" si="5"/>
        <v>59047925.590000004</v>
      </c>
      <c r="U78" s="142">
        <v>22407772</v>
      </c>
      <c r="V78" s="142">
        <f t="shared" si="6"/>
        <v>36640153.590000004</v>
      </c>
      <c r="W78" s="142">
        <v>0</v>
      </c>
      <c r="X78" s="71">
        <f t="shared" si="7"/>
        <v>36640153.590000004</v>
      </c>
      <c r="Y78" s="142">
        <v>33098678.140000001</v>
      </c>
    </row>
    <row r="79" spans="1:25" s="64" customFormat="1" ht="13.5" customHeight="1" outlineLevel="2">
      <c r="A79" s="67">
        <v>568</v>
      </c>
      <c r="B79" s="68" t="s">
        <v>26</v>
      </c>
      <c r="C79" s="68" t="s">
        <v>153</v>
      </c>
      <c r="D79" s="68" t="s">
        <v>154</v>
      </c>
      <c r="E79" s="68" t="s">
        <v>179</v>
      </c>
      <c r="F79" s="68" t="s">
        <v>180</v>
      </c>
      <c r="G79" s="70">
        <v>1.35</v>
      </c>
      <c r="H79" s="69">
        <v>17941</v>
      </c>
      <c r="I79" s="142">
        <v>1504.9383222785798</v>
      </c>
      <c r="J79" s="142">
        <v>301.36792765174738</v>
      </c>
      <c r="K79" s="132">
        <v>1129.8635999999999</v>
      </c>
      <c r="L79" s="132">
        <v>58.882899999999999</v>
      </c>
      <c r="M79" s="132">
        <v>0</v>
      </c>
      <c r="N79" s="142">
        <v>7042.3751705465802</v>
      </c>
      <c r="O79" s="142">
        <v>27000098.440000001</v>
      </c>
      <c r="P79" s="142">
        <v>5406841.9900000002</v>
      </c>
      <c r="Q79" s="142">
        <v>10741846.82</v>
      </c>
      <c r="R79" s="142">
        <v>565275.84</v>
      </c>
      <c r="S79" s="142">
        <v>0</v>
      </c>
      <c r="T79" s="142">
        <f t="shared" si="5"/>
        <v>43714063.090000004</v>
      </c>
      <c r="U79" s="142">
        <v>21559567</v>
      </c>
      <c r="V79" s="142">
        <f t="shared" si="6"/>
        <v>22154496.09</v>
      </c>
      <c r="W79" s="142">
        <v>0</v>
      </c>
      <c r="X79" s="71">
        <f t="shared" si="7"/>
        <v>22154496.09</v>
      </c>
      <c r="Y79" s="142">
        <v>20859686.780000001</v>
      </c>
    </row>
    <row r="80" spans="1:25" s="64" customFormat="1" ht="13.5" customHeight="1" outlineLevel="2">
      <c r="A80" s="67">
        <v>569</v>
      </c>
      <c r="B80" s="68" t="s">
        <v>26</v>
      </c>
      <c r="C80" s="68" t="s">
        <v>153</v>
      </c>
      <c r="D80" s="68" t="s">
        <v>154</v>
      </c>
      <c r="E80" s="68" t="s">
        <v>181</v>
      </c>
      <c r="F80" s="68" t="s">
        <v>182</v>
      </c>
      <c r="G80" s="70">
        <v>1.3</v>
      </c>
      <c r="H80" s="69">
        <v>24830</v>
      </c>
      <c r="I80" s="142">
        <v>1432.2998316552557</v>
      </c>
      <c r="J80" s="142">
        <v>286.82187515102697</v>
      </c>
      <c r="K80" s="132">
        <v>1659.4283</v>
      </c>
      <c r="L80" s="132">
        <v>32.650300000000001</v>
      </c>
      <c r="M80" s="132">
        <v>0</v>
      </c>
      <c r="N80" s="142">
        <v>7042.3751705465802</v>
      </c>
      <c r="O80" s="142">
        <v>35564004.82</v>
      </c>
      <c r="P80" s="142">
        <v>7121787.1600000001</v>
      </c>
      <c r="Q80" s="142">
        <v>15192211.720000001</v>
      </c>
      <c r="R80" s="142">
        <v>313442.88</v>
      </c>
      <c r="S80" s="142">
        <v>0</v>
      </c>
      <c r="T80" s="142">
        <f t="shared" si="5"/>
        <v>58191446.579999998</v>
      </c>
      <c r="U80" s="142">
        <v>31182818</v>
      </c>
      <c r="V80" s="142">
        <f t="shared" si="6"/>
        <v>27008628.579999998</v>
      </c>
      <c r="W80" s="142">
        <v>1296005.8700000001</v>
      </c>
      <c r="X80" s="71">
        <f t="shared" si="7"/>
        <v>28304634.449999999</v>
      </c>
      <c r="Y80" s="142">
        <v>28304634.449999999</v>
      </c>
    </row>
    <row r="81" spans="1:25" s="64" customFormat="1" ht="13.5" customHeight="1" outlineLevel="2">
      <c r="A81" s="67">
        <v>570</v>
      </c>
      <c r="B81" s="68" t="s">
        <v>26</v>
      </c>
      <c r="C81" s="68" t="s">
        <v>153</v>
      </c>
      <c r="D81" s="68" t="s">
        <v>154</v>
      </c>
      <c r="E81" s="68" t="s">
        <v>183</v>
      </c>
      <c r="F81" s="68" t="s">
        <v>184</v>
      </c>
      <c r="G81" s="70">
        <v>1.25</v>
      </c>
      <c r="H81" s="69">
        <v>33198</v>
      </c>
      <c r="I81" s="142">
        <v>1355.3783167660702</v>
      </c>
      <c r="J81" s="142">
        <v>271.4181360322911</v>
      </c>
      <c r="K81" s="132">
        <v>1213.3333</v>
      </c>
      <c r="L81" s="132">
        <v>24.559200000000001</v>
      </c>
      <c r="M81" s="132">
        <v>0</v>
      </c>
      <c r="N81" s="142">
        <v>7042.3751705465802</v>
      </c>
      <c r="O81" s="142">
        <v>44995849.359999999</v>
      </c>
      <c r="P81" s="142">
        <v>9010539.2799999993</v>
      </c>
      <c r="Q81" s="142">
        <v>10680935.210000001</v>
      </c>
      <c r="R81" s="142">
        <v>235768.32000000001</v>
      </c>
      <c r="S81" s="142">
        <v>0</v>
      </c>
      <c r="T81" s="142">
        <f t="shared" si="5"/>
        <v>64923092.170000002</v>
      </c>
      <c r="U81" s="142">
        <v>25151893</v>
      </c>
      <c r="V81" s="142">
        <f t="shared" si="6"/>
        <v>39771199.170000002</v>
      </c>
      <c r="W81" s="142">
        <v>0</v>
      </c>
      <c r="X81" s="71">
        <f t="shared" si="7"/>
        <v>39771199.170000002</v>
      </c>
      <c r="Y81" s="142">
        <v>36874172.780000001</v>
      </c>
    </row>
    <row r="82" spans="1:25" s="64" customFormat="1" ht="13.5" customHeight="1" outlineLevel="2">
      <c r="A82" s="67">
        <v>571</v>
      </c>
      <c r="B82" s="68" t="s">
        <v>26</v>
      </c>
      <c r="C82" s="68" t="s">
        <v>153</v>
      </c>
      <c r="D82" s="68" t="s">
        <v>154</v>
      </c>
      <c r="E82" s="68" t="s">
        <v>185</v>
      </c>
      <c r="F82" s="68" t="s">
        <v>186</v>
      </c>
      <c r="G82" s="70">
        <v>1.3</v>
      </c>
      <c r="H82" s="69">
        <v>28207</v>
      </c>
      <c r="I82" s="142">
        <v>1403.5573109511824</v>
      </c>
      <c r="J82" s="142">
        <v>281.06610841280531</v>
      </c>
      <c r="K82" s="132">
        <v>1427.8164999999999</v>
      </c>
      <c r="L82" s="132">
        <v>17.187799999999999</v>
      </c>
      <c r="M82" s="132">
        <v>1.9117999999999999</v>
      </c>
      <c r="N82" s="142">
        <v>7042.3751705465802</v>
      </c>
      <c r="O82" s="142">
        <v>39590141.07</v>
      </c>
      <c r="P82" s="142">
        <v>7928031.7199999997</v>
      </c>
      <c r="Q82" s="142">
        <v>13071785.66</v>
      </c>
      <c r="R82" s="142">
        <v>165002.88</v>
      </c>
      <c r="S82" s="142">
        <v>17206.2</v>
      </c>
      <c r="T82" s="142">
        <f t="shared" si="5"/>
        <v>60772167.530000001</v>
      </c>
      <c r="U82" s="142">
        <v>22229526</v>
      </c>
      <c r="V82" s="142">
        <f t="shared" si="6"/>
        <v>38542641.530000001</v>
      </c>
      <c r="W82" s="142">
        <v>0</v>
      </c>
      <c r="X82" s="71">
        <f t="shared" si="7"/>
        <v>38542641.530000001</v>
      </c>
      <c r="Y82" s="142">
        <v>36690893.68</v>
      </c>
    </row>
    <row r="83" spans="1:25" s="64" customFormat="1" ht="13.5" customHeight="1" outlineLevel="2">
      <c r="A83" s="67">
        <v>572</v>
      </c>
      <c r="B83" s="68" t="s">
        <v>26</v>
      </c>
      <c r="C83" s="68" t="s">
        <v>153</v>
      </c>
      <c r="D83" s="68" t="s">
        <v>154</v>
      </c>
      <c r="E83" s="68" t="s">
        <v>187</v>
      </c>
      <c r="F83" s="68" t="s">
        <v>188</v>
      </c>
      <c r="G83" s="70">
        <v>1.1499999999999999</v>
      </c>
      <c r="H83" s="69">
        <v>114215</v>
      </c>
      <c r="I83" s="142">
        <v>986.38108076872561</v>
      </c>
      <c r="J83" s="142">
        <v>197.52545164820734</v>
      </c>
      <c r="K83" s="132">
        <v>12707.294400000001</v>
      </c>
      <c r="L83" s="132">
        <v>266.36020000000002</v>
      </c>
      <c r="M83" s="132">
        <v>277.48110000000003</v>
      </c>
      <c r="N83" s="142">
        <v>7042.3751705465802</v>
      </c>
      <c r="O83" s="142">
        <v>112659515.14</v>
      </c>
      <c r="P83" s="142">
        <v>22560369.460000001</v>
      </c>
      <c r="Q83" s="142">
        <v>102912965.03</v>
      </c>
      <c r="R83" s="142">
        <v>2557057.92</v>
      </c>
      <c r="S83" s="142">
        <v>2497329.9</v>
      </c>
      <c r="T83" s="142">
        <f t="shared" si="5"/>
        <v>243187237.44999999</v>
      </c>
      <c r="U83" s="142">
        <v>109859571</v>
      </c>
      <c r="V83" s="142">
        <f t="shared" si="6"/>
        <v>133327666.45</v>
      </c>
      <c r="W83" s="142">
        <v>27810456.699999999</v>
      </c>
      <c r="X83" s="71">
        <f t="shared" si="7"/>
        <v>161138123.15000001</v>
      </c>
      <c r="Y83" s="142">
        <v>161138123.15000001</v>
      </c>
    </row>
    <row r="84" spans="1:25" s="64" customFormat="1" ht="13.5" customHeight="1" outlineLevel="2">
      <c r="A84" s="67">
        <v>573</v>
      </c>
      <c r="B84" s="68" t="s">
        <v>26</v>
      </c>
      <c r="C84" s="68" t="s">
        <v>153</v>
      </c>
      <c r="D84" s="68" t="s">
        <v>154</v>
      </c>
      <c r="E84" s="68" t="s">
        <v>189</v>
      </c>
      <c r="F84" s="68" t="s">
        <v>190</v>
      </c>
      <c r="G84" s="70">
        <v>1.3</v>
      </c>
      <c r="H84" s="69">
        <v>28522</v>
      </c>
      <c r="I84" s="142">
        <v>1401.2233093752191</v>
      </c>
      <c r="J84" s="142">
        <v>280.5987185330622</v>
      </c>
      <c r="K84" s="132">
        <v>907.36059999999998</v>
      </c>
      <c r="L84" s="132">
        <v>28.359000000000002</v>
      </c>
      <c r="M84" s="132">
        <v>0</v>
      </c>
      <c r="N84" s="142">
        <v>7042.3751705465802</v>
      </c>
      <c r="O84" s="142">
        <v>39965691.229999997</v>
      </c>
      <c r="P84" s="142">
        <v>8003236.6500000004</v>
      </c>
      <c r="Q84" s="142">
        <v>8306966.0300000003</v>
      </c>
      <c r="R84" s="142">
        <v>272246.40000000002</v>
      </c>
      <c r="S84" s="142">
        <v>0</v>
      </c>
      <c r="T84" s="142">
        <f t="shared" si="5"/>
        <v>56548140.310000002</v>
      </c>
      <c r="U84" s="142">
        <v>21853931</v>
      </c>
      <c r="V84" s="142">
        <f t="shared" si="6"/>
        <v>34694209.310000002</v>
      </c>
      <c r="W84" s="142">
        <v>0</v>
      </c>
      <c r="X84" s="71">
        <f t="shared" si="7"/>
        <v>34694209.310000002</v>
      </c>
      <c r="Y84" s="142">
        <v>31609200.859999999</v>
      </c>
    </row>
    <row r="85" spans="1:25" s="64" customFormat="1" ht="13.5" customHeight="1" outlineLevel="1">
      <c r="A85" s="143"/>
      <c r="B85" s="144"/>
      <c r="C85" s="144"/>
      <c r="D85" s="145" t="s">
        <v>284</v>
      </c>
      <c r="E85" s="144"/>
      <c r="F85" s="144"/>
      <c r="G85" s="150"/>
      <c r="H85" s="146">
        <f>SUBTOTAL(9,H67:H84)</f>
        <v>850320</v>
      </c>
      <c r="I85" s="146"/>
      <c r="J85" s="146"/>
      <c r="K85" s="151">
        <f t="shared" ref="K85:Y85" si="11">SUBTOTAL(9,K67:K84)</f>
        <v>116713.70759999998</v>
      </c>
      <c r="L85" s="151">
        <f t="shared" si="11"/>
        <v>2751.2419000000004</v>
      </c>
      <c r="M85" s="151">
        <f t="shared" si="11"/>
        <v>3805.1668999999997</v>
      </c>
      <c r="N85" s="146"/>
      <c r="O85" s="147">
        <f t="shared" si="11"/>
        <v>1004767996.7900002</v>
      </c>
      <c r="P85" s="147">
        <f t="shared" si="11"/>
        <v>201207480.84000003</v>
      </c>
      <c r="Q85" s="147">
        <f t="shared" si="11"/>
        <v>913093219.18000019</v>
      </c>
      <c r="R85" s="147">
        <f t="shared" si="11"/>
        <v>26411922.239999987</v>
      </c>
      <c r="S85" s="147">
        <f t="shared" si="11"/>
        <v>34246502.100000001</v>
      </c>
      <c r="T85" s="147">
        <f t="shared" si="11"/>
        <v>2179727121.1499996</v>
      </c>
      <c r="U85" s="147">
        <f t="shared" si="11"/>
        <v>969813526</v>
      </c>
      <c r="V85" s="147">
        <f t="shared" si="11"/>
        <v>1209913595.1499999</v>
      </c>
      <c r="W85" s="147">
        <f t="shared" si="11"/>
        <v>34097925</v>
      </c>
      <c r="X85" s="147">
        <f t="shared" si="11"/>
        <v>1244011520.1499999</v>
      </c>
      <c r="Y85" s="147">
        <f t="shared" si="11"/>
        <v>1160490527.4400001</v>
      </c>
    </row>
    <row r="86" spans="1:25" s="64" customFormat="1" ht="13.5" customHeight="1" outlineLevel="2">
      <c r="A86" s="67">
        <v>574</v>
      </c>
      <c r="B86" s="68" t="s">
        <v>26</v>
      </c>
      <c r="C86" s="68" t="s">
        <v>191</v>
      </c>
      <c r="D86" s="68" t="s">
        <v>192</v>
      </c>
      <c r="E86" s="68" t="s">
        <v>193</v>
      </c>
      <c r="F86" s="68" t="s">
        <v>194</v>
      </c>
      <c r="G86" s="70">
        <v>1.1000000000000001</v>
      </c>
      <c r="H86" s="69">
        <v>109113</v>
      </c>
      <c r="I86" s="142">
        <v>999.05188236048878</v>
      </c>
      <c r="J86" s="142">
        <v>199.29685317056629</v>
      </c>
      <c r="K86" s="132">
        <v>25516.167799999999</v>
      </c>
      <c r="L86" s="132">
        <v>671.09690000000001</v>
      </c>
      <c r="M86" s="132">
        <v>714.05830000000003</v>
      </c>
      <c r="N86" s="142">
        <v>7042.3751705465802</v>
      </c>
      <c r="O86" s="142">
        <v>109009548.04000001</v>
      </c>
      <c r="P86" s="142">
        <v>21745877.539999999</v>
      </c>
      <c r="Q86" s="142">
        <v>197663869.36000001</v>
      </c>
      <c r="R86" s="142">
        <v>6442530.2400000002</v>
      </c>
      <c r="S86" s="142">
        <v>6426524.7000000002</v>
      </c>
      <c r="T86" s="142">
        <f t="shared" si="5"/>
        <v>341288349.88</v>
      </c>
      <c r="U86" s="142">
        <v>205387946</v>
      </c>
      <c r="V86" s="142">
        <f t="shared" si="6"/>
        <v>135900403.88</v>
      </c>
      <c r="W86" s="142">
        <v>0</v>
      </c>
      <c r="X86" s="71">
        <f t="shared" si="7"/>
        <v>135900403.88</v>
      </c>
      <c r="Y86" s="142">
        <v>128746308.27</v>
      </c>
    </row>
    <row r="87" spans="1:25" s="64" customFormat="1" ht="13.5" customHeight="1" outlineLevel="2">
      <c r="A87" s="67">
        <v>575</v>
      </c>
      <c r="B87" s="68" t="s">
        <v>26</v>
      </c>
      <c r="C87" s="68" t="s">
        <v>191</v>
      </c>
      <c r="D87" s="68" t="s">
        <v>192</v>
      </c>
      <c r="E87" s="68" t="s">
        <v>195</v>
      </c>
      <c r="F87" s="68" t="s">
        <v>196</v>
      </c>
      <c r="G87" s="70">
        <v>1.2</v>
      </c>
      <c r="H87" s="69">
        <v>40027</v>
      </c>
      <c r="I87" s="142">
        <v>1301.535607964624</v>
      </c>
      <c r="J87" s="142">
        <v>259.63811851999901</v>
      </c>
      <c r="K87" s="132">
        <v>924.58839999999998</v>
      </c>
      <c r="L87" s="132">
        <v>14.5588</v>
      </c>
      <c r="M87" s="132">
        <v>0</v>
      </c>
      <c r="N87" s="142">
        <v>7042.3751705465802</v>
      </c>
      <c r="O87" s="142">
        <v>52096565.780000001</v>
      </c>
      <c r="P87" s="142">
        <v>10392534.970000001</v>
      </c>
      <c r="Q87" s="142">
        <v>7813558.21</v>
      </c>
      <c r="R87" s="142">
        <v>139764.48000000001</v>
      </c>
      <c r="S87" s="142">
        <v>0</v>
      </c>
      <c r="T87" s="142">
        <f t="shared" si="5"/>
        <v>70442423.439999998</v>
      </c>
      <c r="U87" s="142">
        <v>27908686</v>
      </c>
      <c r="V87" s="142">
        <f t="shared" si="6"/>
        <v>42533737.439999998</v>
      </c>
      <c r="W87" s="142">
        <v>0</v>
      </c>
      <c r="X87" s="71">
        <f t="shared" si="7"/>
        <v>42533737.439999998</v>
      </c>
      <c r="Y87" s="142">
        <v>38667037.390000001</v>
      </c>
    </row>
    <row r="88" spans="1:25" s="64" customFormat="1" ht="13.5" customHeight="1" outlineLevel="2">
      <c r="A88" s="67">
        <v>576</v>
      </c>
      <c r="B88" s="68" t="s">
        <v>26</v>
      </c>
      <c r="C88" s="68" t="s">
        <v>191</v>
      </c>
      <c r="D88" s="68" t="s">
        <v>192</v>
      </c>
      <c r="E88" s="68" t="s">
        <v>197</v>
      </c>
      <c r="F88" s="68" t="s">
        <v>198</v>
      </c>
      <c r="G88" s="70">
        <v>1.2</v>
      </c>
      <c r="H88" s="69">
        <v>44722</v>
      </c>
      <c r="I88" s="142">
        <v>1263.4747895890166</v>
      </c>
      <c r="J88" s="142">
        <v>252.04551831313447</v>
      </c>
      <c r="K88" s="132">
        <v>1245.3439000000001</v>
      </c>
      <c r="L88" s="132">
        <v>28.5381</v>
      </c>
      <c r="M88" s="132">
        <v>0</v>
      </c>
      <c r="N88" s="142">
        <v>7042.3751705465802</v>
      </c>
      <c r="O88" s="142">
        <v>56505119.539999999</v>
      </c>
      <c r="P88" s="142">
        <v>11271979.67</v>
      </c>
      <c r="Q88" s="142">
        <v>10524214.890000001</v>
      </c>
      <c r="R88" s="142">
        <v>273965.76</v>
      </c>
      <c r="S88" s="142">
        <v>0</v>
      </c>
      <c r="T88" s="142">
        <f t="shared" si="5"/>
        <v>78575279.859999999</v>
      </c>
      <c r="U88" s="142">
        <v>36981964</v>
      </c>
      <c r="V88" s="142">
        <f t="shared" si="6"/>
        <v>41593315.859999999</v>
      </c>
      <c r="W88" s="142">
        <v>0</v>
      </c>
      <c r="X88" s="71">
        <f t="shared" si="7"/>
        <v>41593315.859999999</v>
      </c>
      <c r="Y88" s="142">
        <v>34856173.670000002</v>
      </c>
    </row>
    <row r="89" spans="1:25" s="64" customFormat="1" ht="13.5" customHeight="1" outlineLevel="2">
      <c r="A89" s="67">
        <v>577</v>
      </c>
      <c r="B89" s="68" t="s">
        <v>26</v>
      </c>
      <c r="C89" s="68" t="s">
        <v>191</v>
      </c>
      <c r="D89" s="68" t="s">
        <v>192</v>
      </c>
      <c r="E89" s="68" t="s">
        <v>199</v>
      </c>
      <c r="F89" s="68" t="s">
        <v>200</v>
      </c>
      <c r="G89" s="70">
        <v>1.3</v>
      </c>
      <c r="H89" s="69">
        <v>27134</v>
      </c>
      <c r="I89" s="142">
        <v>1415.2946487801282</v>
      </c>
      <c r="J89" s="142">
        <v>282.33145315839909</v>
      </c>
      <c r="K89" s="132">
        <v>1291.7336</v>
      </c>
      <c r="L89" s="132">
        <v>36.531300000000002</v>
      </c>
      <c r="M89" s="132">
        <v>0</v>
      </c>
      <c r="N89" s="142">
        <v>7042.3751705465802</v>
      </c>
      <c r="O89" s="142">
        <v>38402605</v>
      </c>
      <c r="P89" s="142">
        <v>7660781.6500000004</v>
      </c>
      <c r="Q89" s="142">
        <v>11825934.560000001</v>
      </c>
      <c r="R89" s="142">
        <v>350700.48</v>
      </c>
      <c r="S89" s="142">
        <v>0</v>
      </c>
      <c r="T89" s="142">
        <f t="shared" si="5"/>
        <v>58240021.689999998</v>
      </c>
      <c r="U89" s="142">
        <v>25998966</v>
      </c>
      <c r="V89" s="142">
        <f t="shared" si="6"/>
        <v>32241055.690000001</v>
      </c>
      <c r="W89" s="142">
        <v>0</v>
      </c>
      <c r="X89" s="71">
        <f t="shared" si="7"/>
        <v>32241055.690000001</v>
      </c>
      <c r="Y89" s="142">
        <v>24490811.07</v>
      </c>
    </row>
    <row r="90" spans="1:25" s="64" customFormat="1" ht="13.5" customHeight="1" outlineLevel="2">
      <c r="A90" s="67">
        <v>578</v>
      </c>
      <c r="B90" s="68" t="s">
        <v>26</v>
      </c>
      <c r="C90" s="68" t="s">
        <v>191</v>
      </c>
      <c r="D90" s="68" t="s">
        <v>192</v>
      </c>
      <c r="E90" s="68" t="s">
        <v>201</v>
      </c>
      <c r="F90" s="68" t="s">
        <v>202</v>
      </c>
      <c r="G90" s="70">
        <v>1.35</v>
      </c>
      <c r="H90" s="69">
        <v>17744</v>
      </c>
      <c r="I90" s="142">
        <v>1510.1259873760143</v>
      </c>
      <c r="J90" s="142">
        <v>301.24897655545533</v>
      </c>
      <c r="K90" s="132">
        <v>848.11040000000003</v>
      </c>
      <c r="L90" s="132">
        <v>8.4916999999999998</v>
      </c>
      <c r="M90" s="132">
        <v>0</v>
      </c>
      <c r="N90" s="142">
        <v>7042.3751705465802</v>
      </c>
      <c r="O90" s="142">
        <v>26795675.52</v>
      </c>
      <c r="P90" s="142">
        <v>5345361.84</v>
      </c>
      <c r="Q90" s="142">
        <v>8063160.4100000001</v>
      </c>
      <c r="R90" s="142">
        <v>81520.320000000007</v>
      </c>
      <c r="S90" s="142">
        <v>0</v>
      </c>
      <c r="T90" s="142">
        <f t="shared" si="5"/>
        <v>40285718.090000004</v>
      </c>
      <c r="U90" s="142">
        <v>18659948</v>
      </c>
      <c r="V90" s="142">
        <f t="shared" si="6"/>
        <v>21625770.09</v>
      </c>
      <c r="W90" s="142">
        <v>247484.82</v>
      </c>
      <c r="X90" s="71">
        <f t="shared" si="7"/>
        <v>21873254.91</v>
      </c>
      <c r="Y90" s="142">
        <v>21873254.91</v>
      </c>
    </row>
    <row r="91" spans="1:25" s="64" customFormat="1" ht="13.5" customHeight="1" outlineLevel="2">
      <c r="A91" s="67">
        <v>579</v>
      </c>
      <c r="B91" s="68" t="s">
        <v>26</v>
      </c>
      <c r="C91" s="68" t="s">
        <v>191</v>
      </c>
      <c r="D91" s="68" t="s">
        <v>192</v>
      </c>
      <c r="E91" s="68" t="s">
        <v>203</v>
      </c>
      <c r="F91" s="68" t="s">
        <v>204</v>
      </c>
      <c r="G91" s="70">
        <v>1.25</v>
      </c>
      <c r="H91" s="69">
        <v>32932</v>
      </c>
      <c r="I91" s="142">
        <v>1361.3231820114174</v>
      </c>
      <c r="J91" s="142">
        <v>271.56490161545003</v>
      </c>
      <c r="K91" s="132">
        <v>1584.6184000000001</v>
      </c>
      <c r="L91" s="132">
        <v>27.335699999999999</v>
      </c>
      <c r="M91" s="132">
        <v>0</v>
      </c>
      <c r="N91" s="142">
        <v>7042.3751705465802</v>
      </c>
      <c r="O91" s="142">
        <v>44831095.030000001</v>
      </c>
      <c r="P91" s="142">
        <v>8943175.3399999999</v>
      </c>
      <c r="Q91" s="142">
        <v>13949346.59</v>
      </c>
      <c r="R91" s="142">
        <v>262422.71999999997</v>
      </c>
      <c r="S91" s="142">
        <v>0</v>
      </c>
      <c r="T91" s="142">
        <f t="shared" si="5"/>
        <v>67986039.680000007</v>
      </c>
      <c r="U91" s="142">
        <v>42505656</v>
      </c>
      <c r="V91" s="142">
        <f t="shared" si="6"/>
        <v>25480383.68</v>
      </c>
      <c r="W91" s="142">
        <v>0</v>
      </c>
      <c r="X91" s="71">
        <f t="shared" si="7"/>
        <v>25480383.68</v>
      </c>
      <c r="Y91" s="142">
        <v>23334103.899999999</v>
      </c>
    </row>
    <row r="92" spans="1:25" s="64" customFormat="1" ht="13.5" customHeight="1" outlineLevel="2">
      <c r="A92" s="67">
        <v>580</v>
      </c>
      <c r="B92" s="68" t="s">
        <v>26</v>
      </c>
      <c r="C92" s="68" t="s">
        <v>191</v>
      </c>
      <c r="D92" s="68" t="s">
        <v>192</v>
      </c>
      <c r="E92" s="68" t="s">
        <v>205</v>
      </c>
      <c r="F92" s="68" t="s">
        <v>206</v>
      </c>
      <c r="G92" s="70">
        <v>1.1499999999999999</v>
      </c>
      <c r="H92" s="69">
        <v>55055</v>
      </c>
      <c r="I92" s="142">
        <v>1194.7359119062755</v>
      </c>
      <c r="J92" s="142">
        <v>238.33307528834803</v>
      </c>
      <c r="K92" s="132">
        <v>1882.6287</v>
      </c>
      <c r="L92" s="132">
        <v>43.42</v>
      </c>
      <c r="M92" s="132">
        <v>0</v>
      </c>
      <c r="N92" s="142">
        <v>7042.3751705465802</v>
      </c>
      <c r="O92" s="142">
        <v>65776185.630000003</v>
      </c>
      <c r="P92" s="142">
        <v>13121427.460000001</v>
      </c>
      <c r="Q92" s="142">
        <v>15246904.220000001</v>
      </c>
      <c r="R92" s="142">
        <v>416832</v>
      </c>
      <c r="S92" s="142">
        <v>0</v>
      </c>
      <c r="T92" s="142">
        <f t="shared" si="5"/>
        <v>94561349.310000002</v>
      </c>
      <c r="U92" s="142">
        <v>47872280</v>
      </c>
      <c r="V92" s="142">
        <f t="shared" si="6"/>
        <v>46689069.310000002</v>
      </c>
      <c r="W92" s="142">
        <v>0</v>
      </c>
      <c r="X92" s="71">
        <f t="shared" si="7"/>
        <v>46689069.310000002</v>
      </c>
      <c r="Y92" s="142">
        <v>45321844.409999996</v>
      </c>
    </row>
    <row r="93" spans="1:25" s="64" customFormat="1" ht="13.5" customHeight="1" outlineLevel="2">
      <c r="A93" s="67">
        <v>581</v>
      </c>
      <c r="B93" s="68" t="s">
        <v>26</v>
      </c>
      <c r="C93" s="68" t="s">
        <v>191</v>
      </c>
      <c r="D93" s="68" t="s">
        <v>192</v>
      </c>
      <c r="E93" s="68" t="s">
        <v>207</v>
      </c>
      <c r="F93" s="68" t="s">
        <v>208</v>
      </c>
      <c r="G93" s="70">
        <v>1.1499999999999999</v>
      </c>
      <c r="H93" s="69">
        <v>53472</v>
      </c>
      <c r="I93" s="142">
        <v>1204.8342117369839</v>
      </c>
      <c r="J93" s="142">
        <v>240.34754469628965</v>
      </c>
      <c r="K93" s="132">
        <v>3523.2865999999999</v>
      </c>
      <c r="L93" s="132">
        <v>50.103400000000001</v>
      </c>
      <c r="M93" s="132">
        <v>18.575600000000001</v>
      </c>
      <c r="N93" s="142">
        <v>7042.3751705465802</v>
      </c>
      <c r="O93" s="142">
        <v>64424894.969999999</v>
      </c>
      <c r="P93" s="142">
        <v>12851863.91</v>
      </c>
      <c r="Q93" s="142">
        <v>28534152.050000001</v>
      </c>
      <c r="R93" s="142">
        <v>480992.64</v>
      </c>
      <c r="S93" s="142">
        <v>167180.4</v>
      </c>
      <c r="T93" s="142">
        <f t="shared" si="5"/>
        <v>106459083.97</v>
      </c>
      <c r="U93" s="142">
        <v>46973208</v>
      </c>
      <c r="V93" s="142">
        <f t="shared" si="6"/>
        <v>59485875.969999999</v>
      </c>
      <c r="W93" s="142">
        <v>0</v>
      </c>
      <c r="X93" s="71">
        <f t="shared" si="7"/>
        <v>59485875.969999999</v>
      </c>
      <c r="Y93" s="142">
        <v>58889415.840000004</v>
      </c>
    </row>
    <row r="94" spans="1:25" s="64" customFormat="1" ht="13.5" customHeight="1" outlineLevel="2">
      <c r="A94" s="67">
        <v>582</v>
      </c>
      <c r="B94" s="68" t="s">
        <v>26</v>
      </c>
      <c r="C94" s="68" t="s">
        <v>191</v>
      </c>
      <c r="D94" s="68" t="s">
        <v>192</v>
      </c>
      <c r="E94" s="68" t="s">
        <v>209</v>
      </c>
      <c r="F94" s="68" t="s">
        <v>210</v>
      </c>
      <c r="G94" s="70">
        <v>1.25</v>
      </c>
      <c r="H94" s="69">
        <v>37939</v>
      </c>
      <c r="I94" s="142">
        <v>1316.8513706212605</v>
      </c>
      <c r="J94" s="142">
        <v>262.69339834998289</v>
      </c>
      <c r="K94" s="132">
        <v>1252.1901</v>
      </c>
      <c r="L94" s="132">
        <v>23.865400000000001</v>
      </c>
      <c r="M94" s="132">
        <v>0</v>
      </c>
      <c r="N94" s="142">
        <v>7042.3751705465802</v>
      </c>
      <c r="O94" s="142">
        <v>49960024.149999999</v>
      </c>
      <c r="P94" s="142">
        <v>9966324.8399999999</v>
      </c>
      <c r="Q94" s="142">
        <v>11022990.41</v>
      </c>
      <c r="R94" s="142">
        <v>229107.84</v>
      </c>
      <c r="S94" s="142">
        <v>0</v>
      </c>
      <c r="T94" s="142">
        <f t="shared" si="5"/>
        <v>71178447.239999995</v>
      </c>
      <c r="U94" s="142">
        <v>29625274</v>
      </c>
      <c r="V94" s="142">
        <f t="shared" si="6"/>
        <v>41553173.240000002</v>
      </c>
      <c r="W94" s="142">
        <v>0</v>
      </c>
      <c r="X94" s="71">
        <f t="shared" si="7"/>
        <v>41553173.240000002</v>
      </c>
      <c r="Y94" s="142">
        <v>34706158.960000001</v>
      </c>
    </row>
    <row r="95" spans="1:25" s="64" customFormat="1" ht="13.5" customHeight="1" outlineLevel="2">
      <c r="A95" s="67">
        <v>583</v>
      </c>
      <c r="B95" s="68" t="s">
        <v>26</v>
      </c>
      <c r="C95" s="68" t="s">
        <v>191</v>
      </c>
      <c r="D95" s="68" t="s">
        <v>192</v>
      </c>
      <c r="E95" s="68" t="s">
        <v>211</v>
      </c>
      <c r="F95" s="68" t="s">
        <v>212</v>
      </c>
      <c r="G95" s="70">
        <v>1.2</v>
      </c>
      <c r="H95" s="69">
        <v>43480</v>
      </c>
      <c r="I95" s="142">
        <v>1272.7436775528979</v>
      </c>
      <c r="J95" s="142">
        <v>253.89453150873965</v>
      </c>
      <c r="K95" s="132">
        <v>1714.7805000000001</v>
      </c>
      <c r="L95" s="132">
        <v>23.7532</v>
      </c>
      <c r="M95" s="132">
        <v>0</v>
      </c>
      <c r="N95" s="142">
        <v>7042.3751705465802</v>
      </c>
      <c r="O95" s="142">
        <v>55338895.100000001</v>
      </c>
      <c r="P95" s="142">
        <v>11039334.23</v>
      </c>
      <c r="Q95" s="142">
        <v>14491353.140000001</v>
      </c>
      <c r="R95" s="142">
        <v>228030.72</v>
      </c>
      <c r="S95" s="142">
        <v>0</v>
      </c>
      <c r="T95" s="142">
        <f t="shared" si="5"/>
        <v>81097613.189999998</v>
      </c>
      <c r="U95" s="142">
        <v>32164344</v>
      </c>
      <c r="V95" s="142">
        <f t="shared" si="6"/>
        <v>48933269.189999998</v>
      </c>
      <c r="W95" s="142">
        <v>0</v>
      </c>
      <c r="X95" s="71">
        <f t="shared" si="7"/>
        <v>48933269.189999998</v>
      </c>
      <c r="Y95" s="142">
        <v>43365508.409999996</v>
      </c>
    </row>
    <row r="96" spans="1:25" s="64" customFormat="1" ht="13.5" customHeight="1" outlineLevel="2">
      <c r="A96" s="67">
        <v>584</v>
      </c>
      <c r="B96" s="68" t="s">
        <v>26</v>
      </c>
      <c r="C96" s="68" t="s">
        <v>191</v>
      </c>
      <c r="D96" s="68" t="s">
        <v>192</v>
      </c>
      <c r="E96" s="68" t="s">
        <v>213</v>
      </c>
      <c r="F96" s="68" t="s">
        <v>214</v>
      </c>
      <c r="G96" s="70">
        <v>1.1000000000000001</v>
      </c>
      <c r="H96" s="69">
        <v>61230</v>
      </c>
      <c r="I96" s="142">
        <v>1159.4778848603626</v>
      </c>
      <c r="J96" s="142">
        <v>231.29959300996245</v>
      </c>
      <c r="K96" s="132">
        <v>5172.192</v>
      </c>
      <c r="L96" s="132">
        <v>122.5997</v>
      </c>
      <c r="M96" s="132">
        <v>49.337800000000001</v>
      </c>
      <c r="N96" s="142">
        <v>7042.3751705465802</v>
      </c>
      <c r="O96" s="142">
        <v>70994830.890000001</v>
      </c>
      <c r="P96" s="142">
        <v>14162474.08</v>
      </c>
      <c r="Q96" s="142">
        <v>40066968.170000002</v>
      </c>
      <c r="R96" s="142">
        <v>1176957.1200000001</v>
      </c>
      <c r="S96" s="142">
        <v>444040.2</v>
      </c>
      <c r="T96" s="142">
        <f t="shared" si="5"/>
        <v>126845270.45999999</v>
      </c>
      <c r="U96" s="142">
        <v>74630784</v>
      </c>
      <c r="V96" s="142">
        <f t="shared" si="6"/>
        <v>52214486.460000001</v>
      </c>
      <c r="W96" s="142">
        <v>0</v>
      </c>
      <c r="X96" s="71">
        <f t="shared" si="7"/>
        <v>52214486.460000001</v>
      </c>
      <c r="Y96" s="142">
        <v>51586167.869999997</v>
      </c>
    </row>
    <row r="97" spans="1:25" s="64" customFormat="1" ht="13.5" customHeight="1" outlineLevel="2">
      <c r="A97" s="67">
        <v>585</v>
      </c>
      <c r="B97" s="68" t="s">
        <v>26</v>
      </c>
      <c r="C97" s="68" t="s">
        <v>191</v>
      </c>
      <c r="D97" s="68" t="s">
        <v>192</v>
      </c>
      <c r="E97" s="68" t="s">
        <v>215</v>
      </c>
      <c r="F97" s="68" t="s">
        <v>216</v>
      </c>
      <c r="G97" s="70">
        <v>1.35</v>
      </c>
      <c r="H97" s="69">
        <v>11548</v>
      </c>
      <c r="I97" s="142">
        <v>1587.5618643921025</v>
      </c>
      <c r="J97" s="142">
        <v>316.69634915136822</v>
      </c>
      <c r="K97" s="132">
        <v>624.44299999999998</v>
      </c>
      <c r="L97" s="132">
        <v>7.3780999999999999</v>
      </c>
      <c r="M97" s="132">
        <v>0</v>
      </c>
      <c r="N97" s="142">
        <v>7042.3751705465802</v>
      </c>
      <c r="O97" s="142">
        <v>18333164.41</v>
      </c>
      <c r="P97" s="142">
        <v>3657209.44</v>
      </c>
      <c r="Q97" s="142">
        <v>5936708.8899999997</v>
      </c>
      <c r="R97" s="142">
        <v>70829.759999999995</v>
      </c>
      <c r="S97" s="142">
        <v>0</v>
      </c>
      <c r="T97" s="142">
        <f t="shared" si="5"/>
        <v>27997912.5</v>
      </c>
      <c r="U97" s="142">
        <v>13693135</v>
      </c>
      <c r="V97" s="142">
        <f t="shared" si="6"/>
        <v>14304777.5</v>
      </c>
      <c r="W97" s="142">
        <v>0</v>
      </c>
      <c r="X97" s="71">
        <f t="shared" si="7"/>
        <v>14304777.5</v>
      </c>
      <c r="Y97" s="142">
        <v>13857553.119999999</v>
      </c>
    </row>
    <row r="98" spans="1:25" s="64" customFormat="1" ht="13.5" customHeight="1" outlineLevel="1">
      <c r="A98" s="143"/>
      <c r="B98" s="144"/>
      <c r="C98" s="144"/>
      <c r="D98" s="145" t="s">
        <v>285</v>
      </c>
      <c r="E98" s="144"/>
      <c r="F98" s="144"/>
      <c r="G98" s="150"/>
      <c r="H98" s="146">
        <f>SUBTOTAL(9,H86:H97)</f>
        <v>534396</v>
      </c>
      <c r="I98" s="146"/>
      <c r="J98" s="146"/>
      <c r="K98" s="151">
        <f t="shared" ref="K98:Y98" si="12">SUBTOTAL(9,K86:K97)</f>
        <v>45580.083400000003</v>
      </c>
      <c r="L98" s="151">
        <f t="shared" si="12"/>
        <v>1057.6723</v>
      </c>
      <c r="M98" s="151">
        <f t="shared" si="12"/>
        <v>781.97170000000006</v>
      </c>
      <c r="N98" s="146"/>
      <c r="O98" s="147">
        <f t="shared" si="12"/>
        <v>652468604.05999994</v>
      </c>
      <c r="P98" s="147">
        <f t="shared" si="12"/>
        <v>130158344.97</v>
      </c>
      <c r="Q98" s="147">
        <f t="shared" si="12"/>
        <v>365139160.90000004</v>
      </c>
      <c r="R98" s="147">
        <f t="shared" si="12"/>
        <v>10153654.08</v>
      </c>
      <c r="S98" s="147">
        <f t="shared" si="12"/>
        <v>7037745.3000000007</v>
      </c>
      <c r="T98" s="147">
        <f t="shared" si="12"/>
        <v>1164957509.3100002</v>
      </c>
      <c r="U98" s="147">
        <f t="shared" si="12"/>
        <v>602402191</v>
      </c>
      <c r="V98" s="147">
        <f t="shared" si="12"/>
        <v>562555318.30999994</v>
      </c>
      <c r="W98" s="147">
        <f t="shared" si="12"/>
        <v>247484.82</v>
      </c>
      <c r="X98" s="147">
        <f t="shared" si="12"/>
        <v>562802803.13</v>
      </c>
      <c r="Y98" s="147">
        <f t="shared" si="12"/>
        <v>519694337.82000005</v>
      </c>
    </row>
    <row r="99" spans="1:25">
      <c r="A99" s="73"/>
      <c r="B99" s="73"/>
      <c r="C99" s="73"/>
      <c r="D99" s="74" t="s">
        <v>286</v>
      </c>
      <c r="E99" s="73"/>
      <c r="F99" s="73"/>
      <c r="G99" s="152"/>
      <c r="H99" s="148">
        <f>SUBTOTAL(9,H4:H98)</f>
        <v>4134905</v>
      </c>
      <c r="I99" s="148"/>
      <c r="J99" s="148"/>
      <c r="K99" s="153">
        <f>SUBTOTAL(9,K4:K98)</f>
        <v>528208.60629999998</v>
      </c>
      <c r="L99" s="153">
        <f>SUBTOTAL(9,L4:L98)</f>
        <v>12180.969800000003</v>
      </c>
      <c r="M99" s="153">
        <f>SUBTOTAL(9,M4:M98)</f>
        <v>13478.278899999999</v>
      </c>
      <c r="N99" s="148"/>
      <c r="O99" s="149">
        <f t="shared" ref="O99:Y99" si="13">SUBTOTAL(9,O4:O98)</f>
        <v>4964728570.8400002</v>
      </c>
      <c r="P99" s="149">
        <f t="shared" si="13"/>
        <v>980183695.65999985</v>
      </c>
      <c r="Q99" s="149">
        <f t="shared" si="13"/>
        <v>4106342935.4699998</v>
      </c>
      <c r="R99" s="149">
        <f t="shared" si="13"/>
        <v>116937310.07999997</v>
      </c>
      <c r="S99" s="149">
        <f t="shared" si="13"/>
        <v>121304510.10000002</v>
      </c>
      <c r="T99" s="149">
        <f t="shared" si="13"/>
        <v>10289497022.149998</v>
      </c>
      <c r="U99" s="149">
        <f t="shared" si="13"/>
        <v>4459403341</v>
      </c>
      <c r="V99" s="149">
        <f t="shared" si="13"/>
        <v>5830093681.1499977</v>
      </c>
      <c r="W99" s="149">
        <f t="shared" si="13"/>
        <v>89502913.969999999</v>
      </c>
      <c r="X99" s="149">
        <f t="shared" si="13"/>
        <v>5919596595.1199961</v>
      </c>
      <c r="Y99" s="149">
        <f t="shared" si="13"/>
        <v>5448385774.4999981</v>
      </c>
    </row>
    <row r="100" spans="1:25">
      <c r="W100" s="193"/>
      <c r="X100" s="193"/>
      <c r="Y100" s="193"/>
    </row>
    <row r="101" spans="1:25">
      <c r="W101" s="194"/>
      <c r="X101" s="194"/>
      <c r="Y101" s="194"/>
    </row>
  </sheetData>
  <sheetProtection algorithmName="SHA-512" hashValue="nnoyTLRLjn+oEqrjqIv1Mx0QnHw+N+jI15dIDsmDpoZ+eIMRhlLlFn/L/4lr7efGFn85l3czXF1HAqxbgPr4jA==" saltValue="CCS/7iNEKPfzNtNsR5gvEA==" spinCount="100000" sheet="1" objects="1" scenarios="1" autoFilter="0"/>
  <autoFilter ref="A3:Y98" xr:uid="{5348B988-219B-4F83-8042-52873406A850}"/>
  <printOptions horizontalCentered="1"/>
  <pageMargins left="0.11811023622047245" right="0.11811023622047245" top="0.74803149606299213" bottom="0.74803149606299213" header="0.31496062992125984" footer="0.31496062992125984"/>
  <pageSetup paperSize="9" scale="45" orientation="landscape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1A20-F834-4C40-AFFD-64ACA8F066CE}">
  <sheetPr codeName="Sheet4"/>
  <dimension ref="A1:S56"/>
  <sheetViews>
    <sheetView zoomScale="90" zoomScaleNormal="90" workbookViewId="0">
      <selection activeCell="D11" sqref="D11"/>
    </sheetView>
  </sheetViews>
  <sheetFormatPr defaultColWidth="9" defaultRowHeight="15.75" customHeight="1"/>
  <cols>
    <col min="1" max="1" width="2" style="17" customWidth="1"/>
    <col min="2" max="2" width="37.90625" style="17" customWidth="1"/>
    <col min="3" max="3" width="21" style="17" customWidth="1"/>
    <col min="4" max="4" width="14.08984375" style="17" customWidth="1"/>
    <col min="5" max="5" width="13.26953125" style="17" customWidth="1"/>
    <col min="6" max="6" width="22.26953125" style="17" customWidth="1"/>
    <col min="7" max="7" width="17.6328125" style="17" customWidth="1"/>
    <col min="8" max="8" width="19.453125" style="17" customWidth="1"/>
    <col min="9" max="9" width="19.26953125" style="17" bestFit="1" customWidth="1"/>
    <col min="10" max="10" width="20.36328125" style="17" customWidth="1"/>
    <col min="11" max="11" width="18" style="17" customWidth="1"/>
    <col min="12" max="12" width="19" style="17" customWidth="1"/>
    <col min="13" max="13" width="29.6328125" style="17" customWidth="1"/>
    <col min="14" max="16384" width="9" style="17"/>
  </cols>
  <sheetData>
    <row r="1" spans="1:19" ht="15.75" customHeight="1" thickBot="1">
      <c r="B1" s="18" t="s">
        <v>264</v>
      </c>
      <c r="E1" s="18" t="s">
        <v>265</v>
      </c>
    </row>
    <row r="2" spans="1:19" s="19" customFormat="1" ht="38.25" customHeight="1">
      <c r="B2" s="20" t="s">
        <v>266</v>
      </c>
      <c r="C2" s="21" t="s">
        <v>267</v>
      </c>
      <c r="D2" s="22"/>
      <c r="E2" s="23" t="s">
        <v>221</v>
      </c>
      <c r="F2" s="24" t="s">
        <v>268</v>
      </c>
      <c r="I2" s="25"/>
      <c r="J2" s="25"/>
      <c r="K2" s="25"/>
      <c r="L2" s="25"/>
      <c r="M2" s="26"/>
      <c r="N2" s="27"/>
      <c r="O2" s="27"/>
    </row>
    <row r="3" spans="1:19" s="19" customFormat="1" ht="16.5" customHeight="1">
      <c r="B3" s="28" t="s">
        <v>259</v>
      </c>
      <c r="C3" s="29">
        <f>'2.จัดสรรหลังSK'!O99</f>
        <v>4964728570.8400002</v>
      </c>
      <c r="D3" s="8"/>
      <c r="E3" s="30" t="s">
        <v>18</v>
      </c>
      <c r="F3" s="31">
        <v>254162119</v>
      </c>
      <c r="G3" s="32"/>
      <c r="I3" s="33"/>
      <c r="L3" s="34"/>
      <c r="M3" s="35"/>
      <c r="N3" s="36"/>
      <c r="O3" s="32"/>
      <c r="P3" s="37"/>
    </row>
    <row r="4" spans="1:19" s="19" customFormat="1" ht="16.5" customHeight="1">
      <c r="B4" s="28" t="s">
        <v>269</v>
      </c>
      <c r="C4" s="29">
        <f>'2.จัดสรรหลังSK'!P99</f>
        <v>980183695.65999985</v>
      </c>
      <c r="D4" s="8"/>
      <c r="E4" s="38" t="s">
        <v>20</v>
      </c>
      <c r="F4" s="39">
        <v>228750013</v>
      </c>
      <c r="G4" s="32"/>
      <c r="I4" s="33"/>
      <c r="L4" s="34"/>
      <c r="M4" s="35"/>
      <c r="N4" s="36"/>
      <c r="O4" s="32"/>
      <c r="P4" s="40"/>
      <c r="Q4" s="41"/>
      <c r="R4" s="41"/>
      <c r="S4" s="36"/>
    </row>
    <row r="5" spans="1:19" s="19" customFormat="1" ht="16.5" customHeight="1">
      <c r="A5" s="42"/>
      <c r="B5" s="28" t="s">
        <v>270</v>
      </c>
      <c r="C5" s="29">
        <f>'2.จัดสรรหลังSK'!Q99</f>
        <v>4106342935.4699998</v>
      </c>
      <c r="D5" s="8"/>
      <c r="E5" s="30" t="s">
        <v>21</v>
      </c>
      <c r="F5" s="31">
        <v>145463793</v>
      </c>
      <c r="G5" s="32"/>
      <c r="I5" s="33"/>
      <c r="L5" s="43"/>
      <c r="M5" s="35"/>
      <c r="N5" s="36"/>
      <c r="O5" s="32"/>
      <c r="P5" s="40"/>
      <c r="Q5" s="41"/>
      <c r="R5" s="41"/>
      <c r="S5" s="36"/>
    </row>
    <row r="6" spans="1:19" s="19" customFormat="1" ht="16.5" customHeight="1">
      <c r="A6" s="42"/>
      <c r="B6" s="28" t="s">
        <v>271</v>
      </c>
      <c r="C6" s="29">
        <f>'2.จัดสรรหลังSK'!R99</f>
        <v>116937310.07999997</v>
      </c>
      <c r="D6" s="8"/>
      <c r="E6" s="38" t="s">
        <v>22</v>
      </c>
      <c r="F6" s="39">
        <v>231644262</v>
      </c>
      <c r="G6" s="32"/>
      <c r="I6" s="33"/>
      <c r="L6" s="43"/>
      <c r="N6" s="32"/>
      <c r="O6" s="44"/>
      <c r="P6" s="40"/>
      <c r="Q6" s="41"/>
      <c r="R6" s="41"/>
      <c r="S6" s="36"/>
    </row>
    <row r="7" spans="1:19" s="19" customFormat="1" ht="16.5" customHeight="1">
      <c r="A7" s="42"/>
      <c r="B7" s="28" t="s">
        <v>272</v>
      </c>
      <c r="C7" s="29">
        <f>'2.จัดสรรหลังSK'!S99</f>
        <v>121304510.10000002</v>
      </c>
      <c r="D7" s="8"/>
      <c r="E7" s="30" t="s">
        <v>23</v>
      </c>
      <c r="F7" s="31">
        <v>341665401</v>
      </c>
      <c r="G7" s="32"/>
      <c r="H7" s="45"/>
      <c r="I7" s="33"/>
      <c r="L7" s="43"/>
      <c r="N7" s="46"/>
      <c r="O7" s="46"/>
      <c r="P7" s="40"/>
      <c r="Q7" s="41"/>
      <c r="R7" s="41"/>
      <c r="S7" s="36"/>
    </row>
    <row r="8" spans="1:19" s="19" customFormat="1" ht="16.5" customHeight="1">
      <c r="A8" s="42"/>
      <c r="B8" s="47" t="s">
        <v>273</v>
      </c>
      <c r="C8" s="48">
        <f>SUM(C3:C7)</f>
        <v>10289497022.15</v>
      </c>
      <c r="D8" s="49"/>
      <c r="E8" s="38" t="s">
        <v>24</v>
      </c>
      <c r="F8" s="39">
        <v>394696138</v>
      </c>
      <c r="G8" s="32"/>
      <c r="N8" s="50"/>
      <c r="O8" s="40"/>
      <c r="P8" s="41"/>
      <c r="Q8" s="41"/>
      <c r="R8" s="36"/>
    </row>
    <row r="9" spans="1:19" s="19" customFormat="1" ht="16.5" customHeight="1">
      <c r="A9" s="42"/>
      <c r="B9" s="51" t="s">
        <v>14</v>
      </c>
      <c r="C9" s="29">
        <f>'2.จัดสรรหลังSK'!U99</f>
        <v>4459403341</v>
      </c>
      <c r="D9" s="8"/>
      <c r="E9" s="30" t="s">
        <v>25</v>
      </c>
      <c r="F9" s="31">
        <v>283150466</v>
      </c>
      <c r="G9" s="32"/>
      <c r="N9" s="50"/>
      <c r="O9" s="40"/>
      <c r="P9" s="41"/>
      <c r="Q9" s="41"/>
      <c r="R9" s="36"/>
    </row>
    <row r="10" spans="1:19" s="19" customFormat="1" ht="16.5" customHeight="1">
      <c r="A10" s="42"/>
      <c r="B10" s="47" t="s">
        <v>274</v>
      </c>
      <c r="C10" s="48">
        <f>C8-C9</f>
        <v>5830093681.1499996</v>
      </c>
      <c r="D10" s="49"/>
      <c r="E10" s="38" t="s">
        <v>26</v>
      </c>
      <c r="F10" s="39">
        <v>283621415</v>
      </c>
      <c r="G10" s="32"/>
      <c r="H10" s="36"/>
      <c r="M10" s="40"/>
      <c r="N10" s="52"/>
      <c r="O10" s="41"/>
      <c r="P10" s="36"/>
    </row>
    <row r="11" spans="1:19" s="19" customFormat="1" ht="16.5" customHeight="1">
      <c r="A11" s="42"/>
      <c r="B11" s="51" t="s">
        <v>354</v>
      </c>
      <c r="C11" s="29">
        <f>'2.จัดสรรหลังSK'!W99</f>
        <v>89502913.969999999</v>
      </c>
      <c r="D11" s="8"/>
      <c r="E11" s="30" t="s">
        <v>217</v>
      </c>
      <c r="F11" s="31">
        <v>342107788</v>
      </c>
      <c r="G11" s="32"/>
      <c r="K11" s="53"/>
      <c r="L11" s="53"/>
      <c r="M11" s="54"/>
      <c r="N11" s="41"/>
      <c r="O11" s="41"/>
      <c r="P11" s="36"/>
    </row>
    <row r="12" spans="1:19" ht="16.5" customHeight="1" thickBot="1">
      <c r="B12" s="55" t="s">
        <v>275</v>
      </c>
      <c r="C12" s="56">
        <f>C10+C11</f>
        <v>5919596595.1199999</v>
      </c>
      <c r="D12" s="49"/>
      <c r="E12" s="38" t="s">
        <v>218</v>
      </c>
      <c r="F12" s="39">
        <v>198636818</v>
      </c>
      <c r="G12" s="32"/>
    </row>
    <row r="13" spans="1:19" ht="16.5" customHeight="1">
      <c r="B13" s="57"/>
      <c r="C13" s="58"/>
      <c r="E13" s="30" t="s">
        <v>219</v>
      </c>
      <c r="F13" s="31">
        <v>232802990</v>
      </c>
      <c r="G13" s="32"/>
    </row>
    <row r="14" spans="1:19" ht="16.5" customHeight="1">
      <c r="E14" s="38" t="s">
        <v>220</v>
      </c>
      <c r="F14" s="39">
        <v>263298797</v>
      </c>
      <c r="G14" s="32"/>
    </row>
    <row r="15" spans="1:19" ht="16.5" customHeight="1" thickBot="1">
      <c r="E15" s="59" t="s">
        <v>276</v>
      </c>
      <c r="F15" s="60">
        <f>SUM(F3:F14)</f>
        <v>3200000000</v>
      </c>
      <c r="G15" s="32"/>
    </row>
    <row r="16" spans="1:19" ht="13.5" customHeight="1"/>
    <row r="17" spans="2:2" ht="13.5" customHeight="1"/>
    <row r="18" spans="2:2" ht="13.5" customHeight="1"/>
    <row r="19" spans="2:2" ht="13.5" customHeight="1"/>
    <row r="20" spans="2:2" ht="13.5" customHeight="1"/>
    <row r="21" spans="2:2" ht="13.5" customHeight="1"/>
    <row r="22" spans="2:2" ht="13.5" customHeight="1"/>
    <row r="23" spans="2:2" ht="13.5" customHeight="1"/>
    <row r="24" spans="2:2" ht="13.5" customHeight="1"/>
    <row r="25" spans="2:2" ht="13.5" customHeight="1"/>
    <row r="26" spans="2:2" ht="13.5" customHeight="1"/>
    <row r="27" spans="2:2" ht="13.5" customHeight="1"/>
    <row r="28" spans="2:2" ht="13.5" customHeight="1"/>
    <row r="29" spans="2:2" ht="13.5" customHeight="1">
      <c r="B29" s="18"/>
    </row>
    <row r="30" spans="2:2" ht="13.5" customHeight="1"/>
    <row r="31" spans="2:2" ht="13.5" customHeight="1"/>
    <row r="32" spans="2:2" ht="13.5" customHeight="1"/>
    <row r="33" spans="8:8" ht="13.5" customHeight="1"/>
    <row r="34" spans="8:8" ht="15.75" customHeight="1">
      <c r="H34" s="61"/>
    </row>
    <row r="54" spans="2:3" ht="15.75" customHeight="1">
      <c r="B54" s="62"/>
      <c r="C54" s="34"/>
    </row>
    <row r="55" spans="2:3" ht="15.75" customHeight="1">
      <c r="B55" s="63"/>
      <c r="C55" s="32"/>
    </row>
    <row r="56" spans="2:3" ht="15.75" customHeight="1">
      <c r="B56" s="63"/>
      <c r="C56" s="32"/>
    </row>
  </sheetData>
  <sheetProtection algorithmName="SHA-512" hashValue="kei3OMpE278HqkyRJyan5HQSqUyEDnbm9dd5ePQI5CCrB7v09OH0fWFzm9sEpdh6DxiAtQYCnDXPqPmbw03IgA==" saltValue="ujD9ZBDyY0Gy8yWxlQDoRQ==" spinCount="100000" sheet="1" objects="1" scenarios="1"/>
  <printOptions horizontalCentered="1"/>
  <pageMargins left="0.11811023622047245" right="0.11811023622047245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18AD-4A7D-44A3-A8EB-01CA64D85B40}">
  <sheetPr codeName="Sheet5"/>
  <dimension ref="A1:AJ106"/>
  <sheetViews>
    <sheetView tabSelected="1" zoomScaleNormal="100" workbookViewId="0">
      <pane xSplit="6" ySplit="9" topLeftCell="AB10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Y13" sqref="Y13"/>
    </sheetView>
  </sheetViews>
  <sheetFormatPr defaultColWidth="9" defaultRowHeight="13" outlineLevelRow="2"/>
  <cols>
    <col min="1" max="1" width="5" style="90" customWidth="1"/>
    <col min="2" max="2" width="4.36328125" style="90" customWidth="1"/>
    <col min="3" max="3" width="5.453125" style="90" hidden="1" customWidth="1"/>
    <col min="4" max="4" width="9" style="90"/>
    <col min="5" max="5" width="5.08984375" style="90" customWidth="1"/>
    <col min="6" max="6" width="13.26953125" style="90" customWidth="1"/>
    <col min="7" max="7" width="8.26953125" style="90" customWidth="1"/>
    <col min="8" max="8" width="9.26953125" style="90" customWidth="1"/>
    <col min="9" max="9" width="8.90625" style="90" customWidth="1"/>
    <col min="10" max="12" width="9.7265625" style="90" customWidth="1"/>
    <col min="13" max="13" width="13.90625" style="90" customWidth="1"/>
    <col min="14" max="15" width="11.453125" style="90" customWidth="1"/>
    <col min="16" max="16" width="11.36328125" style="90" customWidth="1"/>
    <col min="17" max="17" width="14.6328125" style="90" customWidth="1"/>
    <col min="18" max="19" width="15.6328125" style="90" customWidth="1"/>
    <col min="20" max="20" width="15" style="90" customWidth="1"/>
    <col min="21" max="21" width="15.453125" style="90" customWidth="1"/>
    <col min="22" max="22" width="16.7265625" style="90" customWidth="1"/>
    <col min="23" max="23" width="17.453125" style="90" customWidth="1"/>
    <col min="24" max="24" width="15.6328125" style="90" customWidth="1"/>
    <col min="25" max="25" width="16.36328125" style="90" customWidth="1"/>
    <col min="26" max="26" width="17" style="90" customWidth="1"/>
    <col min="27" max="27" width="16.7265625" style="90" customWidth="1"/>
    <col min="28" max="28" width="15.08984375" style="90" customWidth="1"/>
    <col min="29" max="29" width="15.7265625" style="90" customWidth="1"/>
    <col min="30" max="30" width="15.26953125" style="90" customWidth="1"/>
    <col min="31" max="31" width="16.90625" style="90" customWidth="1"/>
    <col min="32" max="33" width="15.36328125" style="90" customWidth="1"/>
    <col min="34" max="34" width="16.7265625" style="90" customWidth="1"/>
    <col min="35" max="36" width="18.26953125" style="90" customWidth="1"/>
    <col min="37" max="37" width="22.08984375" style="90" customWidth="1"/>
    <col min="38" max="16384" width="9" style="90"/>
  </cols>
  <sheetData>
    <row r="1" spans="1:36" ht="9.75" customHeight="1"/>
    <row r="2" spans="1:36" ht="9.75" customHeight="1"/>
    <row r="3" spans="1:36" ht="9.75" customHeight="1"/>
    <row r="5" spans="1:36" ht="12.75" customHeight="1">
      <c r="X5" s="210" t="s">
        <v>354</v>
      </c>
      <c r="Y5" s="211">
        <f>'3.สรุปวงเงินเขต'!C11</f>
        <v>89502913.969999999</v>
      </c>
      <c r="AA5" s="216" t="s">
        <v>291</v>
      </c>
      <c r="AB5" s="217"/>
      <c r="AC5" s="218"/>
      <c r="AD5" s="77" t="s">
        <v>268</v>
      </c>
      <c r="AE5" s="91">
        <f>'3.สรุปวงเงินเขต'!F10</f>
        <v>283621415</v>
      </c>
      <c r="AF5" s="225" t="s">
        <v>292</v>
      </c>
      <c r="AG5" s="226"/>
      <c r="AH5" s="227"/>
      <c r="AI5" s="234" t="s">
        <v>293</v>
      </c>
      <c r="AJ5" s="234"/>
    </row>
    <row r="6" spans="1:36">
      <c r="X6" s="212" t="s">
        <v>365</v>
      </c>
      <c r="Y6" s="213">
        <f>Y105</f>
        <v>89502913.969999999</v>
      </c>
      <c r="AA6" s="219"/>
      <c r="AB6" s="220"/>
      <c r="AC6" s="221"/>
      <c r="AD6" s="92" t="s">
        <v>294</v>
      </c>
      <c r="AE6" s="93">
        <f>AD105</f>
        <v>0</v>
      </c>
      <c r="AF6" s="228"/>
      <c r="AG6" s="229"/>
      <c r="AH6" s="230"/>
      <c r="AI6" s="234"/>
      <c r="AJ6" s="234"/>
    </row>
    <row r="7" spans="1:36">
      <c r="O7" s="78" t="s">
        <v>308</v>
      </c>
      <c r="P7" s="79">
        <f>'3.สรุปวงเงินเขต'!C5/SUMPRODUCT($I$10:$I$104,$M$10:$M$104)</f>
        <v>7042.3751743800949</v>
      </c>
      <c r="X7" s="212" t="s">
        <v>366</v>
      </c>
      <c r="Y7" s="211">
        <f>ROUND(Y5-Y6,2)</f>
        <v>0</v>
      </c>
      <c r="AA7" s="222"/>
      <c r="AB7" s="223"/>
      <c r="AC7" s="224"/>
      <c r="AD7" s="94" t="s">
        <v>295</v>
      </c>
      <c r="AE7" s="95">
        <f>ROUND(AE5-AE6,2)</f>
        <v>283621415</v>
      </c>
      <c r="AF7" s="231"/>
      <c r="AG7" s="232"/>
      <c r="AH7" s="233"/>
      <c r="AI7" s="234"/>
      <c r="AJ7" s="234"/>
    </row>
    <row r="8" spans="1:36" s="105" customFormat="1" ht="21" customHeight="1">
      <c r="A8" s="96"/>
      <c r="B8" s="96"/>
      <c r="C8" s="96"/>
      <c r="D8" s="96"/>
      <c r="E8" s="96"/>
      <c r="F8" s="96"/>
      <c r="G8" s="214" t="s">
        <v>288</v>
      </c>
      <c r="H8" s="214"/>
      <c r="I8" s="215"/>
      <c r="J8" s="97" t="s">
        <v>222</v>
      </c>
      <c r="K8" s="98" t="s">
        <v>223</v>
      </c>
      <c r="L8" s="98" t="s">
        <v>224</v>
      </c>
      <c r="M8" s="98" t="s">
        <v>225</v>
      </c>
      <c r="N8" s="98" t="s">
        <v>226</v>
      </c>
      <c r="O8" s="98" t="s">
        <v>227</v>
      </c>
      <c r="P8" s="98" t="s">
        <v>246</v>
      </c>
      <c r="Q8" s="98" t="s">
        <v>247</v>
      </c>
      <c r="R8" s="98" t="s">
        <v>248</v>
      </c>
      <c r="S8" s="98" t="s">
        <v>249</v>
      </c>
      <c r="T8" s="98" t="s">
        <v>231</v>
      </c>
      <c r="U8" s="98" t="s">
        <v>232</v>
      </c>
      <c r="V8" s="98" t="s">
        <v>233</v>
      </c>
      <c r="W8" s="98" t="s">
        <v>250</v>
      </c>
      <c r="X8" s="98" t="s">
        <v>251</v>
      </c>
      <c r="Y8" s="99" t="s">
        <v>252</v>
      </c>
      <c r="Z8" s="100" t="s">
        <v>253</v>
      </c>
      <c r="AA8" s="101" t="s">
        <v>254</v>
      </c>
      <c r="AB8" s="141" t="s">
        <v>345</v>
      </c>
      <c r="AC8" s="101" t="s">
        <v>296</v>
      </c>
      <c r="AD8" s="102" t="s">
        <v>297</v>
      </c>
      <c r="AE8" s="103" t="s">
        <v>298</v>
      </c>
      <c r="AF8" s="104" t="s">
        <v>299</v>
      </c>
      <c r="AG8" s="104" t="s">
        <v>300</v>
      </c>
      <c r="AH8" s="104" t="s">
        <v>301</v>
      </c>
      <c r="AI8" s="104" t="s">
        <v>302</v>
      </c>
      <c r="AJ8" s="104" t="s">
        <v>303</v>
      </c>
    </row>
    <row r="9" spans="1:36" s="118" customFormat="1" ht="59.25" customHeight="1">
      <c r="A9" s="106" t="s">
        <v>277</v>
      </c>
      <c r="B9" s="106" t="s">
        <v>221</v>
      </c>
      <c r="C9" s="106" t="s">
        <v>9</v>
      </c>
      <c r="D9" s="106" t="s">
        <v>278</v>
      </c>
      <c r="E9" s="106" t="s">
        <v>10</v>
      </c>
      <c r="F9" s="106" t="s">
        <v>344</v>
      </c>
      <c r="G9" s="107" t="s">
        <v>289</v>
      </c>
      <c r="H9" s="108" t="s">
        <v>290</v>
      </c>
      <c r="I9" s="109" t="s">
        <v>350</v>
      </c>
      <c r="J9" s="110" t="s">
        <v>255</v>
      </c>
      <c r="K9" s="110" t="s">
        <v>256</v>
      </c>
      <c r="L9" s="110" t="s">
        <v>257</v>
      </c>
      <c r="M9" s="110" t="s">
        <v>237</v>
      </c>
      <c r="N9" s="110" t="s">
        <v>238</v>
      </c>
      <c r="O9" s="111" t="s">
        <v>239</v>
      </c>
      <c r="P9" s="110" t="s">
        <v>258</v>
      </c>
      <c r="Q9" s="110" t="s">
        <v>259</v>
      </c>
      <c r="R9" s="110" t="s">
        <v>260</v>
      </c>
      <c r="S9" s="110" t="s">
        <v>261</v>
      </c>
      <c r="T9" s="110" t="s">
        <v>13</v>
      </c>
      <c r="U9" s="112" t="s">
        <v>245</v>
      </c>
      <c r="V9" s="110" t="s">
        <v>262</v>
      </c>
      <c r="W9" s="110" t="s">
        <v>14</v>
      </c>
      <c r="X9" s="110" t="s">
        <v>263</v>
      </c>
      <c r="Y9" s="113" t="s">
        <v>309</v>
      </c>
      <c r="Z9" s="114" t="s">
        <v>310</v>
      </c>
      <c r="AA9" s="115" t="s">
        <v>351</v>
      </c>
      <c r="AB9" s="14" t="s">
        <v>346</v>
      </c>
      <c r="AC9" s="112" t="s">
        <v>304</v>
      </c>
      <c r="AD9" s="108" t="s">
        <v>305</v>
      </c>
      <c r="AE9" s="116" t="s">
        <v>306</v>
      </c>
      <c r="AF9" s="117" t="s">
        <v>16</v>
      </c>
      <c r="AG9" s="117" t="s">
        <v>17</v>
      </c>
      <c r="AH9" s="110" t="s">
        <v>307</v>
      </c>
      <c r="AI9" s="112" t="s">
        <v>358</v>
      </c>
      <c r="AJ9" s="112" t="s">
        <v>359</v>
      </c>
    </row>
    <row r="10" spans="1:36" s="127" customFormat="1" ht="14.25" customHeight="1" outlineLevel="2">
      <c r="A10" s="156">
        <v>498</v>
      </c>
      <c r="B10" s="157" t="s">
        <v>26</v>
      </c>
      <c r="C10" s="120" t="s">
        <v>27</v>
      </c>
      <c r="D10" s="157" t="s">
        <v>28</v>
      </c>
      <c r="E10" s="157" t="s">
        <v>29</v>
      </c>
      <c r="F10" s="157" t="s">
        <v>30</v>
      </c>
      <c r="G10" s="158">
        <v>1.1000000000000001</v>
      </c>
      <c r="H10" s="159"/>
      <c r="I10" s="160">
        <f t="shared" ref="I10:I27" si="0">IF(H10&lt;&gt;"",ROUND(H10,2),G10)</f>
        <v>1.1000000000000001</v>
      </c>
      <c r="J10" s="161">
        <v>76768</v>
      </c>
      <c r="K10" s="162">
        <f>VLOOKUP($E10,'2.จัดสรรหลังSK'!$E$4:$Y$98,5,FALSE)</f>
        <v>1073.7429563099208</v>
      </c>
      <c r="L10" s="162">
        <f>VLOOKUP($E10,'2.จัดสรรหลังSK'!$E$4:$Y$98,6,FALSE)</f>
        <v>216.67375494997916</v>
      </c>
      <c r="M10" s="163">
        <v>17006.694100000001</v>
      </c>
      <c r="N10" s="163">
        <v>422.09010000000001</v>
      </c>
      <c r="O10" s="163">
        <v>389.9769</v>
      </c>
      <c r="P10" s="158">
        <f t="shared" ref="P10:P27" si="1">$P$7</f>
        <v>7042.3751743800949</v>
      </c>
      <c r="Q10" s="158">
        <f>VLOOKUP($E10,'2.จัดสรรหลังSK'!$E$4:$Y$98,11,FALSE)</f>
        <v>82429099.269999996</v>
      </c>
      <c r="R10" s="158">
        <f>VLOOKUP($E10,'2.จัดสรรหลังSK'!$E$4:$Y$98,12,FALSE)</f>
        <v>16633610.82</v>
      </c>
      <c r="S10" s="160">
        <f>IF($H$105&lt;&gt;0,ROUND(ROUND(M10*I10,4)*P10,2),VLOOKUP($E10,'2.จัดสรรหลังSK'!$E$4:$Q$98,13,FALSE))</f>
        <v>131744272.22</v>
      </c>
      <c r="T10" s="158">
        <f>VLOOKUP($E10,'2.จัดสรรหลังSK'!$E$4:$Y$98,14,FALSE)</f>
        <v>4052064.96</v>
      </c>
      <c r="U10" s="158">
        <f>VLOOKUP($E10,'2.จัดสรรหลังSK'!$E$4:$Y$98,15,FALSE)</f>
        <v>3509792.1</v>
      </c>
      <c r="V10" s="162">
        <f t="shared" ref="V10:V17" si="2">SUM(Q10:U10)</f>
        <v>238368839.37</v>
      </c>
      <c r="W10" s="162">
        <v>93112397</v>
      </c>
      <c r="X10" s="158">
        <f t="shared" ref="X10:X17" si="3">ROUND(V10-W10,2)</f>
        <v>145256442.37</v>
      </c>
      <c r="Y10" s="164">
        <v>0</v>
      </c>
      <c r="Z10" s="165">
        <f t="shared" ref="Z10:Z17" si="4">ROUND(X10+Y10,2)</f>
        <v>145256442.37</v>
      </c>
      <c r="AA10" s="162">
        <f>VLOOKUP($E10,'2.จัดสรรหลังSK'!$E$4:$Y$98,21,FALSE)</f>
        <v>130461290.43000001</v>
      </c>
      <c r="AB10" s="166">
        <f t="shared" ref="AB10:AB17" si="5">ROUND(Z10-AA10,2)</f>
        <v>14795151.939999999</v>
      </c>
      <c r="AC10" s="167" t="str">
        <f t="shared" ref="AC10:AC17" si="6">IF(Z10&gt;=AA10,"ผ่าน","ไม่ผ่าน")</f>
        <v>ผ่าน</v>
      </c>
      <c r="AD10" s="168"/>
      <c r="AE10" s="162">
        <f t="shared" ref="AE10:AE17" si="7">ROUND(Z10+AD10,2)</f>
        <v>145256442.37</v>
      </c>
      <c r="AF10" s="168"/>
      <c r="AG10" s="168"/>
      <c r="AH10" s="162">
        <f t="shared" ref="AH10:AH17" si="8">ROUND(AF10+AG10,2)</f>
        <v>0</v>
      </c>
      <c r="AI10" s="162">
        <f t="shared" ref="AI10:AI17" si="9">ROUND(Z10-AH10,2)</f>
        <v>145256442.37</v>
      </c>
      <c r="AJ10" s="162">
        <f t="shared" ref="AJ10:AJ17" si="10">ROUND(AE10-AH10,2)</f>
        <v>145256442.37</v>
      </c>
    </row>
    <row r="11" spans="1:36" s="127" customFormat="1" ht="14.25" customHeight="1" outlineLevel="2">
      <c r="A11" s="119">
        <v>499</v>
      </c>
      <c r="B11" s="120" t="s">
        <v>26</v>
      </c>
      <c r="C11" s="120" t="s">
        <v>27</v>
      </c>
      <c r="D11" s="120" t="s">
        <v>28</v>
      </c>
      <c r="E11" s="120" t="s">
        <v>31</v>
      </c>
      <c r="F11" s="120" t="s">
        <v>32</v>
      </c>
      <c r="G11" s="121">
        <v>1.2</v>
      </c>
      <c r="H11" s="89"/>
      <c r="I11" s="80">
        <f t="shared" si="0"/>
        <v>1.2</v>
      </c>
      <c r="J11" s="122">
        <v>41820</v>
      </c>
      <c r="K11" s="123">
        <f>VLOOKUP($E11,'2.จัดสรรหลังSK'!$E$4:$Y$98,5,FALSE)</f>
        <v>1268.0514689143949</v>
      </c>
      <c r="L11" s="123">
        <f>VLOOKUP($E11,'2.จัดสรรหลังSK'!$E$4:$Y$98,6,FALSE)</f>
        <v>255.88384218077474</v>
      </c>
      <c r="M11" s="124">
        <v>1910.0536999999999</v>
      </c>
      <c r="N11" s="124">
        <v>44.394199999999998</v>
      </c>
      <c r="O11" s="124">
        <v>0</v>
      </c>
      <c r="P11" s="121">
        <f t="shared" si="1"/>
        <v>7042.3751743800949</v>
      </c>
      <c r="Q11" s="121">
        <f>VLOOKUP($E11,'2.จัดสรรหลังSK'!$E$4:$Y$98,11,FALSE)</f>
        <v>53029912.43</v>
      </c>
      <c r="R11" s="121">
        <f>VLOOKUP($E11,'2.จัดสรรหลังSK'!$E$4:$Y$98,12,FALSE)</f>
        <v>10701062.279999999</v>
      </c>
      <c r="S11" s="80">
        <f>IF($H$105&lt;&gt;0,ROUND(ROUND(M11*I11,4)*P11,2),VLOOKUP($E11,'2.จัดสรรหลังSK'!$E$4:$Q$98,13,FALSE))</f>
        <v>16141577.42</v>
      </c>
      <c r="T11" s="121">
        <f>VLOOKUP($E11,'2.จัดสรรหลังSK'!$E$4:$Y$98,14,FALSE)</f>
        <v>426184.32</v>
      </c>
      <c r="U11" s="121">
        <f>VLOOKUP($E11,'2.จัดสรรหลังSK'!$E$4:$Y$98,15,FALSE)</f>
        <v>0</v>
      </c>
      <c r="V11" s="123">
        <f t="shared" si="2"/>
        <v>80298736.449999988</v>
      </c>
      <c r="W11" s="123">
        <v>26804885</v>
      </c>
      <c r="X11" s="121">
        <f t="shared" si="3"/>
        <v>53493851.450000003</v>
      </c>
      <c r="Y11" s="81">
        <v>0</v>
      </c>
      <c r="Z11" s="125">
        <f t="shared" si="4"/>
        <v>53493851.450000003</v>
      </c>
      <c r="AA11" s="123">
        <f>VLOOKUP($E11,'2.จัดสรรหลังSK'!$E$4:$Y$98,21,FALSE)</f>
        <v>46343219.890000001</v>
      </c>
      <c r="AB11" s="9">
        <f t="shared" si="5"/>
        <v>7150631.5599999996</v>
      </c>
      <c r="AC11" s="126" t="str">
        <f t="shared" si="6"/>
        <v>ผ่าน</v>
      </c>
      <c r="AD11" s="128"/>
      <c r="AE11" s="123">
        <f t="shared" si="7"/>
        <v>53493851.450000003</v>
      </c>
      <c r="AF11" s="128"/>
      <c r="AG11" s="128"/>
      <c r="AH11" s="123">
        <f t="shared" si="8"/>
        <v>0</v>
      </c>
      <c r="AI11" s="123">
        <f t="shared" si="9"/>
        <v>53493851.450000003</v>
      </c>
      <c r="AJ11" s="123">
        <f t="shared" si="10"/>
        <v>53493851.450000003</v>
      </c>
    </row>
    <row r="12" spans="1:36" s="127" customFormat="1" ht="14.25" customHeight="1" outlineLevel="2">
      <c r="A12" s="119">
        <v>500</v>
      </c>
      <c r="B12" s="120" t="s">
        <v>26</v>
      </c>
      <c r="C12" s="120" t="s">
        <v>27</v>
      </c>
      <c r="D12" s="120" t="s">
        <v>28</v>
      </c>
      <c r="E12" s="120" t="s">
        <v>33</v>
      </c>
      <c r="F12" s="120" t="s">
        <v>34</v>
      </c>
      <c r="G12" s="121">
        <v>1.1499999999999999</v>
      </c>
      <c r="H12" s="89"/>
      <c r="I12" s="80">
        <f t="shared" si="0"/>
        <v>1.1499999999999999</v>
      </c>
      <c r="J12" s="122">
        <v>48560</v>
      </c>
      <c r="K12" s="123">
        <f>VLOOKUP($E12,'2.จัดสรรหลังSK'!$E$4:$Y$98,5,FALSE)</f>
        <v>1220.5603189868204</v>
      </c>
      <c r="L12" s="123">
        <f>VLOOKUP($E12,'2.จัดสรรหลังSK'!$E$4:$Y$98,6,FALSE)</f>
        <v>246.30046313838551</v>
      </c>
      <c r="M12" s="124">
        <v>2365.1954999999998</v>
      </c>
      <c r="N12" s="124">
        <v>52.448999999999998</v>
      </c>
      <c r="O12" s="124">
        <v>0</v>
      </c>
      <c r="P12" s="121">
        <f t="shared" si="1"/>
        <v>7042.3751743800949</v>
      </c>
      <c r="Q12" s="121">
        <f>VLOOKUP($E12,'2.จัดสรรหลังSK'!$E$4:$Y$98,11,FALSE)</f>
        <v>59270409.090000004</v>
      </c>
      <c r="R12" s="121">
        <f>VLOOKUP($E12,'2.จัดสรรหลังSK'!$E$4:$Y$98,12,FALSE)</f>
        <v>11960350.49</v>
      </c>
      <c r="S12" s="80">
        <f>IF($H$105&lt;&gt;0,ROUND(ROUND(M12*I12,4)*P12,2),VLOOKUP($E12,'2.จัดสรรหลังSK'!$E$4:$Q$98,13,FALSE))</f>
        <v>19155083</v>
      </c>
      <c r="T12" s="121">
        <f>VLOOKUP($E12,'2.จัดสรรหลังSK'!$E$4:$Y$98,14,FALSE)</f>
        <v>503510.4</v>
      </c>
      <c r="U12" s="121">
        <f>VLOOKUP($E12,'2.จัดสรรหลังSK'!$E$4:$Y$98,15,FALSE)</f>
        <v>0</v>
      </c>
      <c r="V12" s="123">
        <f t="shared" si="2"/>
        <v>90889352.980000004</v>
      </c>
      <c r="W12" s="123">
        <v>30342831</v>
      </c>
      <c r="X12" s="121">
        <f t="shared" si="3"/>
        <v>60546521.979999997</v>
      </c>
      <c r="Y12" s="81">
        <v>0</v>
      </c>
      <c r="Z12" s="125">
        <f t="shared" si="4"/>
        <v>60546521.979999997</v>
      </c>
      <c r="AA12" s="123">
        <f>VLOOKUP($E12,'2.จัดสรรหลังSK'!$E$4:$Y$98,21,FALSE)</f>
        <v>54073321.310000002</v>
      </c>
      <c r="AB12" s="9">
        <f t="shared" si="5"/>
        <v>6473200.6699999999</v>
      </c>
      <c r="AC12" s="126" t="str">
        <f t="shared" si="6"/>
        <v>ผ่าน</v>
      </c>
      <c r="AD12" s="128"/>
      <c r="AE12" s="123">
        <f t="shared" si="7"/>
        <v>60546521.979999997</v>
      </c>
      <c r="AF12" s="128"/>
      <c r="AG12" s="128"/>
      <c r="AH12" s="123">
        <f t="shared" si="8"/>
        <v>0</v>
      </c>
      <c r="AI12" s="123">
        <f t="shared" si="9"/>
        <v>60546521.979999997</v>
      </c>
      <c r="AJ12" s="123">
        <f t="shared" si="10"/>
        <v>60546521.979999997</v>
      </c>
    </row>
    <row r="13" spans="1:36" s="127" customFormat="1" ht="14.25" customHeight="1" outlineLevel="2">
      <c r="A13" s="119">
        <v>501</v>
      </c>
      <c r="B13" s="120" t="s">
        <v>26</v>
      </c>
      <c r="C13" s="120" t="s">
        <v>27</v>
      </c>
      <c r="D13" s="120" t="s">
        <v>28</v>
      </c>
      <c r="E13" s="120" t="s">
        <v>35</v>
      </c>
      <c r="F13" s="120" t="s">
        <v>36</v>
      </c>
      <c r="G13" s="121">
        <v>1.1499999999999999</v>
      </c>
      <c r="H13" s="89"/>
      <c r="I13" s="80">
        <f t="shared" si="0"/>
        <v>1.1499999999999999</v>
      </c>
      <c r="J13" s="122">
        <v>53836</v>
      </c>
      <c r="K13" s="123">
        <f>VLOOKUP($E13,'2.จัดสรรหลังSK'!$E$4:$Y$98,5,FALSE)</f>
        <v>1185.6846760531985</v>
      </c>
      <c r="L13" s="123">
        <f>VLOOKUP($E13,'2.จัดสรรหลังSK'!$E$4:$Y$98,6,FALSE)</f>
        <v>239.26280444312357</v>
      </c>
      <c r="M13" s="124">
        <v>5188.9453999999996</v>
      </c>
      <c r="N13" s="124">
        <v>76.522400000000005</v>
      </c>
      <c r="O13" s="124">
        <v>3.7869999999999999</v>
      </c>
      <c r="P13" s="121">
        <f t="shared" si="1"/>
        <v>7042.3751743800949</v>
      </c>
      <c r="Q13" s="121">
        <f>VLOOKUP($E13,'2.จัดสรรหลังSK'!$E$4:$Y$98,11,FALSE)</f>
        <v>63832520.219999999</v>
      </c>
      <c r="R13" s="121">
        <f>VLOOKUP($E13,'2.จัดสรรหลังSK'!$E$4:$Y$98,12,FALSE)</f>
        <v>12880952.34</v>
      </c>
      <c r="S13" s="80">
        <f>IF($H$105&lt;&gt;0,ROUND(ROUND(M13*I13,4)*P13,2),VLOOKUP($E13,'2.จัดสรรหลังSK'!$E$4:$Q$98,13,FALSE))</f>
        <v>42023875.210000001</v>
      </c>
      <c r="T13" s="121">
        <f>VLOOKUP($E13,'2.จัดสรรหลังSK'!$E$4:$Y$98,14,FALSE)</f>
        <v>734615.04000000004</v>
      </c>
      <c r="U13" s="121">
        <f>VLOOKUP($E13,'2.จัดสรรหลังSK'!$E$4:$Y$98,15,FALSE)</f>
        <v>34083</v>
      </c>
      <c r="V13" s="123">
        <f t="shared" si="2"/>
        <v>119506045.81000002</v>
      </c>
      <c r="W13" s="123">
        <v>43299082</v>
      </c>
      <c r="X13" s="121">
        <f t="shared" si="3"/>
        <v>76206963.810000002</v>
      </c>
      <c r="Y13" s="81">
        <v>0</v>
      </c>
      <c r="Z13" s="125">
        <f t="shared" si="4"/>
        <v>76206963.810000002</v>
      </c>
      <c r="AA13" s="123">
        <f>VLOOKUP($E13,'2.จัดสรรหลังSK'!$E$4:$Y$98,21,FALSE)</f>
        <v>69913498.079999998</v>
      </c>
      <c r="AB13" s="9">
        <f t="shared" si="5"/>
        <v>6293465.7300000004</v>
      </c>
      <c r="AC13" s="126" t="str">
        <f t="shared" si="6"/>
        <v>ผ่าน</v>
      </c>
      <c r="AD13" s="128"/>
      <c r="AE13" s="123">
        <f t="shared" si="7"/>
        <v>76206963.810000002</v>
      </c>
      <c r="AF13" s="128"/>
      <c r="AG13" s="128"/>
      <c r="AH13" s="123">
        <f t="shared" si="8"/>
        <v>0</v>
      </c>
      <c r="AI13" s="123">
        <f t="shared" si="9"/>
        <v>76206963.810000002</v>
      </c>
      <c r="AJ13" s="123">
        <f t="shared" si="10"/>
        <v>76206963.810000002</v>
      </c>
    </row>
    <row r="14" spans="1:36" s="127" customFormat="1" ht="14.25" customHeight="1" outlineLevel="2">
      <c r="A14" s="119">
        <v>502</v>
      </c>
      <c r="B14" s="120" t="s">
        <v>26</v>
      </c>
      <c r="C14" s="120" t="s">
        <v>27</v>
      </c>
      <c r="D14" s="120" t="s">
        <v>28</v>
      </c>
      <c r="E14" s="120" t="s">
        <v>37</v>
      </c>
      <c r="F14" s="120" t="s">
        <v>38</v>
      </c>
      <c r="G14" s="121">
        <v>1.25</v>
      </c>
      <c r="H14" s="89"/>
      <c r="I14" s="80">
        <f t="shared" si="0"/>
        <v>1.25</v>
      </c>
      <c r="J14" s="122">
        <v>31312</v>
      </c>
      <c r="K14" s="123">
        <f>VLOOKUP($E14,'2.จัดสรรหลังSK'!$E$4:$Y$98,5,FALSE)</f>
        <v>1359.5228283086356</v>
      </c>
      <c r="L14" s="123">
        <f>VLOOKUP($E14,'2.จัดสรรหลังSK'!$E$4:$Y$98,6,FALSE)</f>
        <v>274.34211739908022</v>
      </c>
      <c r="M14" s="124">
        <v>1959.0965000000001</v>
      </c>
      <c r="N14" s="124">
        <v>50.553899999999999</v>
      </c>
      <c r="O14" s="124">
        <v>0</v>
      </c>
      <c r="P14" s="121">
        <f t="shared" si="1"/>
        <v>7042.3751743800949</v>
      </c>
      <c r="Q14" s="121">
        <f>VLOOKUP($E14,'2.จัดสรรหลังSK'!$E$4:$Y$98,11,FALSE)</f>
        <v>42569378.799999997</v>
      </c>
      <c r="R14" s="121">
        <f>VLOOKUP($E14,'2.จัดสรรหลังSK'!$E$4:$Y$98,12,FALSE)</f>
        <v>8590200.3800000008</v>
      </c>
      <c r="S14" s="80">
        <f>IF($H$105&lt;&gt;0,ROUND(ROUND(M14*I14,4)*P14,2),VLOOKUP($E14,'2.จัดสรรหลังSK'!$E$4:$Q$98,13,FALSE))</f>
        <v>17245865.510000002</v>
      </c>
      <c r="T14" s="121">
        <f>VLOOKUP($E14,'2.จัดสรรหลังSK'!$E$4:$Y$98,14,FALSE)</f>
        <v>485317.44</v>
      </c>
      <c r="U14" s="121">
        <f>VLOOKUP($E14,'2.จัดสรรหลังSK'!$E$4:$Y$98,15,FALSE)</f>
        <v>0</v>
      </c>
      <c r="V14" s="123">
        <f t="shared" si="2"/>
        <v>68890762.129999995</v>
      </c>
      <c r="W14" s="123">
        <v>26215797</v>
      </c>
      <c r="X14" s="121">
        <f t="shared" si="3"/>
        <v>42674965.130000003</v>
      </c>
      <c r="Y14" s="81">
        <v>0</v>
      </c>
      <c r="Z14" s="125">
        <f t="shared" si="4"/>
        <v>42674965.130000003</v>
      </c>
      <c r="AA14" s="123">
        <f>VLOOKUP($E14,'2.จัดสรรหลังSK'!$E$4:$Y$98,21,FALSE)</f>
        <v>35546380.18</v>
      </c>
      <c r="AB14" s="9">
        <f t="shared" si="5"/>
        <v>7128584.9500000002</v>
      </c>
      <c r="AC14" s="126" t="str">
        <f t="shared" si="6"/>
        <v>ผ่าน</v>
      </c>
      <c r="AD14" s="128"/>
      <c r="AE14" s="123">
        <f t="shared" si="7"/>
        <v>42674965.130000003</v>
      </c>
      <c r="AF14" s="128"/>
      <c r="AG14" s="128"/>
      <c r="AH14" s="123">
        <f t="shared" si="8"/>
        <v>0</v>
      </c>
      <c r="AI14" s="123">
        <f t="shared" si="9"/>
        <v>42674965.130000003</v>
      </c>
      <c r="AJ14" s="123">
        <f t="shared" si="10"/>
        <v>42674965.130000003</v>
      </c>
    </row>
    <row r="15" spans="1:36" s="127" customFormat="1" ht="14.25" customHeight="1" outlineLevel="2">
      <c r="A15" s="119">
        <v>503</v>
      </c>
      <c r="B15" s="120" t="s">
        <v>26</v>
      </c>
      <c r="C15" s="120" t="s">
        <v>27</v>
      </c>
      <c r="D15" s="120" t="s">
        <v>28</v>
      </c>
      <c r="E15" s="120" t="s">
        <v>39</v>
      </c>
      <c r="F15" s="120" t="s">
        <v>40</v>
      </c>
      <c r="G15" s="121">
        <v>1.25</v>
      </c>
      <c r="H15" s="89"/>
      <c r="I15" s="80">
        <f t="shared" si="0"/>
        <v>1.25</v>
      </c>
      <c r="J15" s="122">
        <v>30842</v>
      </c>
      <c r="K15" s="123">
        <f>VLOOKUP($E15,'2.จัดสรรหลังSK'!$E$4:$Y$98,5,FALSE)</f>
        <v>1364.8482553012127</v>
      </c>
      <c r="L15" s="123">
        <f>VLOOKUP($E15,'2.จัดสรรหลังSK'!$E$4:$Y$98,6,FALSE)</f>
        <v>275.41675085921793</v>
      </c>
      <c r="M15" s="124">
        <v>2274.6538999999998</v>
      </c>
      <c r="N15" s="124">
        <v>49.365699999999997</v>
      </c>
      <c r="O15" s="124">
        <v>0</v>
      </c>
      <c r="P15" s="121">
        <f t="shared" si="1"/>
        <v>7042.3751743800949</v>
      </c>
      <c r="Q15" s="121">
        <f>VLOOKUP($E15,'2.จัดสรรหลังSK'!$E$4:$Y$98,11,FALSE)</f>
        <v>42094649.890000001</v>
      </c>
      <c r="R15" s="121">
        <f>VLOOKUP($E15,'2.จัดสรรหลังSK'!$E$4:$Y$98,12,FALSE)</f>
        <v>8494403.4299999997</v>
      </c>
      <c r="S15" s="80">
        <f>IF($H$105&lt;&gt;0,ROUND(ROUND(M15*I15,4)*P15,2),VLOOKUP($E15,'2.จัดสรรหลังSK'!$E$4:$Q$98,13,FALSE))</f>
        <v>20023707.859999999</v>
      </c>
      <c r="T15" s="121">
        <f>VLOOKUP($E15,'2.จัดสรรหลังSK'!$E$4:$Y$98,14,FALSE)</f>
        <v>473910.72</v>
      </c>
      <c r="U15" s="121">
        <f>VLOOKUP($E15,'2.จัดสรรหลังSK'!$E$4:$Y$98,15,FALSE)</f>
        <v>0</v>
      </c>
      <c r="V15" s="123">
        <f t="shared" si="2"/>
        <v>71086671.900000006</v>
      </c>
      <c r="W15" s="123">
        <v>23569384</v>
      </c>
      <c r="X15" s="121">
        <f t="shared" si="3"/>
        <v>47517287.899999999</v>
      </c>
      <c r="Y15" s="81">
        <v>0</v>
      </c>
      <c r="Z15" s="125">
        <f t="shared" si="4"/>
        <v>47517287.899999999</v>
      </c>
      <c r="AA15" s="123">
        <f>VLOOKUP($E15,'2.จัดสรรหลังSK'!$E$4:$Y$98,21,FALSE)</f>
        <v>44025221.969999999</v>
      </c>
      <c r="AB15" s="9">
        <f t="shared" si="5"/>
        <v>3492065.93</v>
      </c>
      <c r="AC15" s="126" t="str">
        <f t="shared" si="6"/>
        <v>ผ่าน</v>
      </c>
      <c r="AD15" s="128"/>
      <c r="AE15" s="123">
        <f t="shared" si="7"/>
        <v>47517287.899999999</v>
      </c>
      <c r="AF15" s="128"/>
      <c r="AG15" s="128"/>
      <c r="AH15" s="123">
        <f t="shared" si="8"/>
        <v>0</v>
      </c>
      <c r="AI15" s="123">
        <f t="shared" si="9"/>
        <v>47517287.899999999</v>
      </c>
      <c r="AJ15" s="123">
        <f t="shared" si="10"/>
        <v>47517287.899999999</v>
      </c>
    </row>
    <row r="16" spans="1:36" s="127" customFormat="1" ht="14.25" customHeight="1" outlineLevel="2">
      <c r="A16" s="119">
        <v>504</v>
      </c>
      <c r="B16" s="120" t="s">
        <v>26</v>
      </c>
      <c r="C16" s="120" t="s">
        <v>27</v>
      </c>
      <c r="D16" s="120" t="s">
        <v>28</v>
      </c>
      <c r="E16" s="120" t="s">
        <v>41</v>
      </c>
      <c r="F16" s="120" t="s">
        <v>42</v>
      </c>
      <c r="G16" s="121">
        <v>1.25</v>
      </c>
      <c r="H16" s="89"/>
      <c r="I16" s="80">
        <f t="shared" si="0"/>
        <v>1.25</v>
      </c>
      <c r="J16" s="122">
        <v>31876</v>
      </c>
      <c r="K16" s="123">
        <f>VLOOKUP($E16,'2.จัดสรรหลังSK'!$E$4:$Y$98,5,FALSE)</f>
        <v>1353.3396125611746</v>
      </c>
      <c r="L16" s="123">
        <f>VLOOKUP($E16,'2.จัดสรรหลังSK'!$E$4:$Y$98,6,FALSE)</f>
        <v>273.09438825448615</v>
      </c>
      <c r="M16" s="124">
        <v>1504.6258</v>
      </c>
      <c r="N16" s="124">
        <v>23.980499999999999</v>
      </c>
      <c r="O16" s="124">
        <v>0</v>
      </c>
      <c r="P16" s="121">
        <f t="shared" si="1"/>
        <v>7042.3751743800949</v>
      </c>
      <c r="Q16" s="121">
        <f>VLOOKUP($E16,'2.จัดสรรหลังSK'!$E$4:$Y$98,11,FALSE)</f>
        <v>43139053.490000002</v>
      </c>
      <c r="R16" s="121">
        <f>VLOOKUP($E16,'2.จัดสรรหลังSK'!$E$4:$Y$98,12,FALSE)</f>
        <v>8705156.7200000007</v>
      </c>
      <c r="S16" s="80">
        <f>IF($H$105&lt;&gt;0,ROUND(ROUND(M16*I16,4)*P16,2),VLOOKUP($E16,'2.จัดสรรหลังSK'!$E$4:$Q$98,13,FALSE))</f>
        <v>13245174.57</v>
      </c>
      <c r="T16" s="121">
        <f>VLOOKUP($E16,'2.จัดสรรหลังSK'!$E$4:$Y$98,14,FALSE)</f>
        <v>230212.8</v>
      </c>
      <c r="U16" s="121">
        <f>VLOOKUP($E16,'2.จัดสรรหลังSK'!$E$4:$Y$98,15,FALSE)</f>
        <v>0</v>
      </c>
      <c r="V16" s="123">
        <f t="shared" si="2"/>
        <v>65319597.579999998</v>
      </c>
      <c r="W16" s="123">
        <v>23063288</v>
      </c>
      <c r="X16" s="121">
        <f t="shared" si="3"/>
        <v>42256309.579999998</v>
      </c>
      <c r="Y16" s="81">
        <v>0</v>
      </c>
      <c r="Z16" s="125">
        <f t="shared" si="4"/>
        <v>42256309.579999998</v>
      </c>
      <c r="AA16" s="123">
        <f>VLOOKUP($E16,'2.จัดสรรหลังSK'!$E$4:$Y$98,21,FALSE)</f>
        <v>38896746.530000001</v>
      </c>
      <c r="AB16" s="9">
        <f t="shared" si="5"/>
        <v>3359563.05</v>
      </c>
      <c r="AC16" s="126" t="str">
        <f t="shared" si="6"/>
        <v>ผ่าน</v>
      </c>
      <c r="AD16" s="128"/>
      <c r="AE16" s="123">
        <f t="shared" si="7"/>
        <v>42256309.579999998</v>
      </c>
      <c r="AF16" s="128"/>
      <c r="AG16" s="128"/>
      <c r="AH16" s="123">
        <f t="shared" si="8"/>
        <v>0</v>
      </c>
      <c r="AI16" s="123">
        <f t="shared" si="9"/>
        <v>42256309.579999998</v>
      </c>
      <c r="AJ16" s="123">
        <f t="shared" si="10"/>
        <v>42256309.579999998</v>
      </c>
    </row>
    <row r="17" spans="1:36" s="127" customFormat="1" ht="14.25" customHeight="1" outlineLevel="2">
      <c r="A17" s="119">
        <v>505</v>
      </c>
      <c r="B17" s="120" t="s">
        <v>26</v>
      </c>
      <c r="C17" s="120" t="s">
        <v>27</v>
      </c>
      <c r="D17" s="120" t="s">
        <v>28</v>
      </c>
      <c r="E17" s="120" t="s">
        <v>43</v>
      </c>
      <c r="F17" s="120" t="s">
        <v>44</v>
      </c>
      <c r="G17" s="121">
        <v>1.35</v>
      </c>
      <c r="H17" s="89"/>
      <c r="I17" s="80">
        <f t="shared" si="0"/>
        <v>1.35</v>
      </c>
      <c r="J17" s="122">
        <v>11279</v>
      </c>
      <c r="K17" s="123">
        <f>VLOOKUP($E17,'2.จัดสรรหลังSK'!$E$4:$Y$98,5,FALSE)</f>
        <v>1570.6296692969233</v>
      </c>
      <c r="L17" s="123">
        <f>VLOOKUP($E17,'2.จัดสรรหลังSK'!$E$4:$Y$98,6,FALSE)</f>
        <v>316.94198865147621</v>
      </c>
      <c r="M17" s="124">
        <v>691.48199999999997</v>
      </c>
      <c r="N17" s="124">
        <v>14.2354</v>
      </c>
      <c r="O17" s="124">
        <v>0</v>
      </c>
      <c r="P17" s="121">
        <f t="shared" si="1"/>
        <v>7042.3751743800949</v>
      </c>
      <c r="Q17" s="121">
        <f>VLOOKUP($E17,'2.จัดสรรหลังSK'!$E$4:$Y$98,11,FALSE)</f>
        <v>17715132.039999999</v>
      </c>
      <c r="R17" s="121">
        <f>VLOOKUP($E17,'2.จัดสรรหลังSK'!$E$4:$Y$98,12,FALSE)</f>
        <v>3574788.69</v>
      </c>
      <c r="S17" s="80">
        <f>IF($H$105&lt;&gt;0,ROUND(ROUND(M17*I17,4)*P17,2),VLOOKUP($E17,'2.จัดสรรหลังSK'!$E$4:$Q$98,13,FALSE))</f>
        <v>6574062.1500000004</v>
      </c>
      <c r="T17" s="121">
        <f>VLOOKUP($E17,'2.จัดสรรหลังSK'!$E$4:$Y$98,14,FALSE)</f>
        <v>136659.84</v>
      </c>
      <c r="U17" s="121">
        <f>VLOOKUP($E17,'2.จัดสรรหลังSK'!$E$4:$Y$98,15,FALSE)</f>
        <v>0</v>
      </c>
      <c r="V17" s="123">
        <f t="shared" si="2"/>
        <v>28000642.720000003</v>
      </c>
      <c r="W17" s="123">
        <v>13481298</v>
      </c>
      <c r="X17" s="121">
        <f t="shared" si="3"/>
        <v>14519344.720000001</v>
      </c>
      <c r="Y17" s="81">
        <v>4130536.64</v>
      </c>
      <c r="Z17" s="125">
        <f t="shared" si="4"/>
        <v>18649881.359999999</v>
      </c>
      <c r="AA17" s="123">
        <f>VLOOKUP($E17,'2.จัดสรรหลังSK'!$E$4:$Y$98,21,FALSE)</f>
        <v>18649881.359999999</v>
      </c>
      <c r="AB17" s="9">
        <f t="shared" si="5"/>
        <v>0</v>
      </c>
      <c r="AC17" s="126" t="str">
        <f t="shared" si="6"/>
        <v>ผ่าน</v>
      </c>
      <c r="AD17" s="128"/>
      <c r="AE17" s="123">
        <f t="shared" si="7"/>
        <v>18649881.359999999</v>
      </c>
      <c r="AF17" s="128"/>
      <c r="AG17" s="128"/>
      <c r="AH17" s="123">
        <f t="shared" si="8"/>
        <v>0</v>
      </c>
      <c r="AI17" s="123">
        <f t="shared" si="9"/>
        <v>18649881.359999999</v>
      </c>
      <c r="AJ17" s="123">
        <f t="shared" si="10"/>
        <v>18649881.359999999</v>
      </c>
    </row>
    <row r="18" spans="1:36" s="127" customFormat="1" ht="14.25" customHeight="1" outlineLevel="1">
      <c r="A18" s="180"/>
      <c r="B18" s="181"/>
      <c r="C18" s="155"/>
      <c r="D18" s="182" t="s">
        <v>279</v>
      </c>
      <c r="E18" s="181"/>
      <c r="F18" s="181"/>
      <c r="G18" s="183"/>
      <c r="H18" s="184"/>
      <c r="I18" s="185"/>
      <c r="J18" s="186">
        <f>SUBTOTAL(9,J10:J17)</f>
        <v>326293</v>
      </c>
      <c r="K18" s="187"/>
      <c r="L18" s="187"/>
      <c r="M18" s="188">
        <f t="shared" ref="M18:AB18" si="11">SUBTOTAL(9,M10:M17)</f>
        <v>32900.746899999998</v>
      </c>
      <c r="N18" s="188">
        <f t="shared" si="11"/>
        <v>733.59119999999996</v>
      </c>
      <c r="O18" s="188">
        <f t="shared" si="11"/>
        <v>393.76389999999998</v>
      </c>
      <c r="P18" s="183"/>
      <c r="Q18" s="183">
        <f t="shared" si="11"/>
        <v>404080155.23000002</v>
      </c>
      <c r="R18" s="183">
        <f t="shared" si="11"/>
        <v>81540525.150000006</v>
      </c>
      <c r="S18" s="185">
        <f t="shared" si="11"/>
        <v>266153617.93999997</v>
      </c>
      <c r="T18" s="183">
        <f t="shared" si="11"/>
        <v>7042475.5200000005</v>
      </c>
      <c r="U18" s="183">
        <f t="shared" si="11"/>
        <v>3543875.1</v>
      </c>
      <c r="V18" s="187">
        <f t="shared" si="11"/>
        <v>762360648.94000006</v>
      </c>
      <c r="W18" s="187">
        <f t="shared" si="11"/>
        <v>279888962</v>
      </c>
      <c r="X18" s="183">
        <f t="shared" si="11"/>
        <v>482471686.94</v>
      </c>
      <c r="Y18" s="183">
        <f t="shared" si="11"/>
        <v>4130536.64</v>
      </c>
      <c r="Z18" s="189">
        <f t="shared" si="11"/>
        <v>486602223.57999998</v>
      </c>
      <c r="AA18" s="187">
        <f t="shared" si="11"/>
        <v>437909559.75</v>
      </c>
      <c r="AB18" s="190">
        <f t="shared" si="11"/>
        <v>48692663.830000006</v>
      </c>
      <c r="AC18" s="191"/>
      <c r="AD18" s="192">
        <f t="shared" ref="AD18:AJ18" si="12">SUBTOTAL(9,AD10:AD17)</f>
        <v>0</v>
      </c>
      <c r="AE18" s="187">
        <f t="shared" si="12"/>
        <v>486602223.57999998</v>
      </c>
      <c r="AF18" s="192">
        <f t="shared" si="12"/>
        <v>0</v>
      </c>
      <c r="AG18" s="192">
        <f t="shared" si="12"/>
        <v>0</v>
      </c>
      <c r="AH18" s="187">
        <f t="shared" si="12"/>
        <v>0</v>
      </c>
      <c r="AI18" s="187">
        <f t="shared" si="12"/>
        <v>486602223.57999998</v>
      </c>
      <c r="AJ18" s="187">
        <f t="shared" si="12"/>
        <v>486602223.57999998</v>
      </c>
    </row>
    <row r="19" spans="1:36" s="127" customFormat="1" ht="14.25" customHeight="1" outlineLevel="2">
      <c r="A19" s="156">
        <v>506</v>
      </c>
      <c r="B19" s="157" t="s">
        <v>26</v>
      </c>
      <c r="C19" s="120" t="s">
        <v>45</v>
      </c>
      <c r="D19" s="157" t="s">
        <v>46</v>
      </c>
      <c r="E19" s="157" t="s">
        <v>47</v>
      </c>
      <c r="F19" s="157" t="s">
        <v>48</v>
      </c>
      <c r="G19" s="158">
        <v>1.1000000000000001</v>
      </c>
      <c r="H19" s="159"/>
      <c r="I19" s="160">
        <f t="shared" si="0"/>
        <v>1.1000000000000001</v>
      </c>
      <c r="J19" s="161">
        <v>100640</v>
      </c>
      <c r="K19" s="162">
        <f>VLOOKUP($E19,'2.จัดสรรหลังSK'!$E$4:$Y$98,5,FALSE)</f>
        <v>1050.7489997019077</v>
      </c>
      <c r="L19" s="162">
        <f>VLOOKUP($E19,'2.จัดสรรหลังSK'!$E$4:$Y$98,6,FALSE)</f>
        <v>204.59968630763115</v>
      </c>
      <c r="M19" s="163">
        <v>22667</v>
      </c>
      <c r="N19" s="163">
        <v>595.24159999999995</v>
      </c>
      <c r="O19" s="163">
        <v>852.57910000000004</v>
      </c>
      <c r="P19" s="158">
        <f t="shared" si="1"/>
        <v>7042.3751743800949</v>
      </c>
      <c r="Q19" s="158">
        <f>VLOOKUP($E19,'2.จัดสรรหลังSK'!$E$4:$Y$98,11,FALSE)</f>
        <v>105747379.33</v>
      </c>
      <c r="R19" s="158">
        <f>VLOOKUP($E19,'2.จัดสรรหลังSK'!$E$4:$Y$98,12,FALSE)</f>
        <v>20590912.43</v>
      </c>
      <c r="S19" s="160">
        <f>IF($H$105&lt;&gt;0,ROUND(ROUND(M19*I19,4)*P19,2),VLOOKUP($E19,'2.จัดสรรหลังSK'!$E$4:$Q$98,13,FALSE))</f>
        <v>175592469.78999999</v>
      </c>
      <c r="T19" s="158">
        <f>VLOOKUP($E19,'2.จัดสรรหลังSK'!$E$4:$Y$98,14,FALSE)</f>
        <v>5714319.3600000003</v>
      </c>
      <c r="U19" s="158">
        <f>VLOOKUP($E19,'2.จัดสรรหลังSK'!$E$4:$Y$98,15,FALSE)</f>
        <v>7673211.9000000004</v>
      </c>
      <c r="V19" s="162">
        <f t="shared" ref="V19:V24" si="13">SUM(Q19:U19)</f>
        <v>315318292.80999994</v>
      </c>
      <c r="W19" s="162">
        <v>150118533</v>
      </c>
      <c r="X19" s="158">
        <f t="shared" ref="X19:X24" si="14">ROUND(V19-W19,2)</f>
        <v>165199759.81</v>
      </c>
      <c r="Y19" s="164">
        <v>0</v>
      </c>
      <c r="Z19" s="165">
        <f t="shared" ref="Z19:Z24" si="15">ROUND(X19+Y19,2)</f>
        <v>165199759.81</v>
      </c>
      <c r="AA19" s="162">
        <f>VLOOKUP($E19,'2.จัดสรรหลังSK'!$E$4:$Y$98,21,FALSE)</f>
        <v>148731292.12</v>
      </c>
      <c r="AB19" s="166">
        <f t="shared" ref="AB19:AB24" si="16">ROUND(Z19-AA19,2)</f>
        <v>16468467.689999999</v>
      </c>
      <c r="AC19" s="167" t="str">
        <f t="shared" ref="AC19:AC24" si="17">IF(Z19&gt;=AA19,"ผ่าน","ไม่ผ่าน")</f>
        <v>ผ่าน</v>
      </c>
      <c r="AD19" s="168"/>
      <c r="AE19" s="162">
        <f t="shared" ref="AE19:AE24" si="18">ROUND(Z19+AD19,2)</f>
        <v>165199759.81</v>
      </c>
      <c r="AF19" s="168"/>
      <c r="AG19" s="168"/>
      <c r="AH19" s="162">
        <f t="shared" ref="AH19:AH24" si="19">ROUND(AF19+AG19,2)</f>
        <v>0</v>
      </c>
      <c r="AI19" s="162">
        <f t="shared" ref="AI19:AI24" si="20">ROUND(Z19-AH19,2)</f>
        <v>165199759.81</v>
      </c>
      <c r="AJ19" s="162">
        <f t="shared" ref="AJ19:AJ24" si="21">ROUND(AE19-AH19,2)</f>
        <v>165199759.81</v>
      </c>
    </row>
    <row r="20" spans="1:36" s="127" customFormat="1" ht="14.25" customHeight="1" outlineLevel="2">
      <c r="A20" s="119">
        <v>507</v>
      </c>
      <c r="B20" s="120" t="s">
        <v>26</v>
      </c>
      <c r="C20" s="120" t="s">
        <v>45</v>
      </c>
      <c r="D20" s="120" t="s">
        <v>46</v>
      </c>
      <c r="E20" s="120" t="s">
        <v>49</v>
      </c>
      <c r="F20" s="120" t="s">
        <v>50</v>
      </c>
      <c r="G20" s="121">
        <v>1.1000000000000001</v>
      </c>
      <c r="H20" s="89"/>
      <c r="I20" s="80">
        <f t="shared" si="0"/>
        <v>1.1000000000000001</v>
      </c>
      <c r="J20" s="122">
        <v>69726</v>
      </c>
      <c r="K20" s="123">
        <f>VLOOKUP($E20,'2.จัดสรรหลังSK'!$E$4:$Y$98,5,FALSE)</f>
        <v>1152.3980063390989</v>
      </c>
      <c r="L20" s="123">
        <f>VLOOKUP($E20,'2.จัดสรรหลังSK'!$E$4:$Y$98,6,FALSE)</f>
        <v>224.39257192438976</v>
      </c>
      <c r="M20" s="124">
        <v>3318.1509999999998</v>
      </c>
      <c r="N20" s="124">
        <v>94.749399999999994</v>
      </c>
      <c r="O20" s="124">
        <v>0</v>
      </c>
      <c r="P20" s="121">
        <f t="shared" si="1"/>
        <v>7042.3751743800949</v>
      </c>
      <c r="Q20" s="121">
        <f>VLOOKUP($E20,'2.จัดสรรหลังSK'!$E$4:$Y$98,11,FALSE)</f>
        <v>80352103.390000001</v>
      </c>
      <c r="R20" s="121">
        <f>VLOOKUP($E20,'2.จัดสรรหลังSK'!$E$4:$Y$98,12,FALSE)</f>
        <v>15645996.470000001</v>
      </c>
      <c r="S20" s="80">
        <f>IF($H$105&lt;&gt;0,ROUND(ROUND(M20*I20,4)*P20,2),VLOOKUP($E20,'2.จัดสรรหลังSK'!$E$4:$Q$98,13,FALSE))</f>
        <v>25704430.640000001</v>
      </c>
      <c r="T20" s="121">
        <f>VLOOKUP($E20,'2.จัดสรรหลังSK'!$E$4:$Y$98,14,FALSE)</f>
        <v>909594.24</v>
      </c>
      <c r="U20" s="121">
        <f>VLOOKUP($E20,'2.จัดสรรหลังSK'!$E$4:$Y$98,15,FALSE)</f>
        <v>0</v>
      </c>
      <c r="V20" s="123">
        <f t="shared" si="13"/>
        <v>122612124.73999999</v>
      </c>
      <c r="W20" s="123">
        <v>45193575</v>
      </c>
      <c r="X20" s="121">
        <f t="shared" si="14"/>
        <v>77418549.739999995</v>
      </c>
      <c r="Y20" s="81">
        <v>0</v>
      </c>
      <c r="Z20" s="125">
        <f t="shared" si="15"/>
        <v>77418549.739999995</v>
      </c>
      <c r="AA20" s="123">
        <f>VLOOKUP($E20,'2.จัดสรรหลังSK'!$E$4:$Y$98,21,FALSE)</f>
        <v>64376825.770000003</v>
      </c>
      <c r="AB20" s="9">
        <f t="shared" si="16"/>
        <v>13041723.970000001</v>
      </c>
      <c r="AC20" s="126" t="str">
        <f t="shared" si="17"/>
        <v>ผ่าน</v>
      </c>
      <c r="AD20" s="128"/>
      <c r="AE20" s="123">
        <f t="shared" si="18"/>
        <v>77418549.739999995</v>
      </c>
      <c r="AF20" s="128"/>
      <c r="AG20" s="128"/>
      <c r="AH20" s="123">
        <f t="shared" si="19"/>
        <v>0</v>
      </c>
      <c r="AI20" s="123">
        <f t="shared" si="20"/>
        <v>77418549.739999995</v>
      </c>
      <c r="AJ20" s="123">
        <f t="shared" si="21"/>
        <v>77418549.739999995</v>
      </c>
    </row>
    <row r="21" spans="1:36" s="127" customFormat="1" ht="14.25" customHeight="1" outlineLevel="2">
      <c r="A21" s="119">
        <v>508</v>
      </c>
      <c r="B21" s="120" t="s">
        <v>26</v>
      </c>
      <c r="C21" s="120" t="s">
        <v>45</v>
      </c>
      <c r="D21" s="120" t="s">
        <v>46</v>
      </c>
      <c r="E21" s="120" t="s">
        <v>51</v>
      </c>
      <c r="F21" s="120" t="s">
        <v>52</v>
      </c>
      <c r="G21" s="121">
        <v>1.2</v>
      </c>
      <c r="H21" s="89"/>
      <c r="I21" s="80">
        <f t="shared" si="0"/>
        <v>1.2</v>
      </c>
      <c r="J21" s="122">
        <v>47182</v>
      </c>
      <c r="K21" s="123">
        <f>VLOOKUP($E21,'2.จัดสรรหลังSK'!$E$4:$Y$98,5,FALSE)</f>
        <v>1286.049063625959</v>
      </c>
      <c r="L21" s="123">
        <f>VLOOKUP($E21,'2.จัดสรรหลังSK'!$E$4:$Y$98,6,FALSE)</f>
        <v>250.41683120681614</v>
      </c>
      <c r="M21" s="124">
        <v>1847.4011</v>
      </c>
      <c r="N21" s="124">
        <v>44.162300000000002</v>
      </c>
      <c r="O21" s="124">
        <v>0</v>
      </c>
      <c r="P21" s="121">
        <f t="shared" si="1"/>
        <v>7042.3751743800949</v>
      </c>
      <c r="Q21" s="121">
        <f>VLOOKUP($E21,'2.จัดสรรหลังSK'!$E$4:$Y$98,11,FALSE)</f>
        <v>60678366.920000002</v>
      </c>
      <c r="R21" s="121">
        <f>VLOOKUP($E21,'2.จัดสรรหลังSK'!$E$4:$Y$98,12,FALSE)</f>
        <v>11815166.93</v>
      </c>
      <c r="S21" s="80">
        <f>IF($H$105&lt;&gt;0,ROUND(ROUND(M21*I21,4)*P21,2),VLOOKUP($E21,'2.จัดสรรหลังSK'!$E$4:$Q$98,13,FALSE))</f>
        <v>15612109.82</v>
      </c>
      <c r="T21" s="121">
        <f>VLOOKUP($E21,'2.จัดสรรหลังSK'!$E$4:$Y$98,14,FALSE)</f>
        <v>423958.08</v>
      </c>
      <c r="U21" s="121">
        <f>VLOOKUP($E21,'2.จัดสรรหลังSK'!$E$4:$Y$98,15,FALSE)</f>
        <v>0</v>
      </c>
      <c r="V21" s="123">
        <f t="shared" si="13"/>
        <v>88529601.749999985</v>
      </c>
      <c r="W21" s="123">
        <v>34357141</v>
      </c>
      <c r="X21" s="121">
        <f t="shared" si="14"/>
        <v>54172460.75</v>
      </c>
      <c r="Y21" s="81">
        <v>0</v>
      </c>
      <c r="Z21" s="125">
        <f t="shared" si="15"/>
        <v>54172460.75</v>
      </c>
      <c r="AA21" s="123">
        <f>VLOOKUP($E21,'2.จัดสรรหลังSK'!$E$4:$Y$98,21,FALSE)</f>
        <v>46424601.329999998</v>
      </c>
      <c r="AB21" s="9">
        <f t="shared" si="16"/>
        <v>7747859.4199999999</v>
      </c>
      <c r="AC21" s="126" t="str">
        <f t="shared" si="17"/>
        <v>ผ่าน</v>
      </c>
      <c r="AD21" s="128"/>
      <c r="AE21" s="123">
        <f t="shared" si="18"/>
        <v>54172460.75</v>
      </c>
      <c r="AF21" s="128"/>
      <c r="AG21" s="128"/>
      <c r="AH21" s="123">
        <f t="shared" si="19"/>
        <v>0</v>
      </c>
      <c r="AI21" s="123">
        <f t="shared" si="20"/>
        <v>54172460.75</v>
      </c>
      <c r="AJ21" s="123">
        <f t="shared" si="21"/>
        <v>54172460.75</v>
      </c>
    </row>
    <row r="22" spans="1:36" s="127" customFormat="1" ht="14.25" customHeight="1" outlineLevel="2">
      <c r="A22" s="119">
        <v>509</v>
      </c>
      <c r="B22" s="120" t="s">
        <v>26</v>
      </c>
      <c r="C22" s="120" t="s">
        <v>45</v>
      </c>
      <c r="D22" s="120" t="s">
        <v>46</v>
      </c>
      <c r="E22" s="120" t="s">
        <v>53</v>
      </c>
      <c r="F22" s="120" t="s">
        <v>54</v>
      </c>
      <c r="G22" s="121">
        <v>1.1000000000000001</v>
      </c>
      <c r="H22" s="89"/>
      <c r="I22" s="80">
        <f t="shared" si="0"/>
        <v>1.1000000000000001</v>
      </c>
      <c r="J22" s="122">
        <v>82587</v>
      </c>
      <c r="K22" s="123">
        <f>VLOOKUP($E22,'2.จัดสรรหลังSK'!$E$4:$Y$98,5,FALSE)</f>
        <v>1103.2255723055687</v>
      </c>
      <c r="L22" s="123">
        <f>VLOOKUP($E22,'2.จัดสรรหลังSK'!$E$4:$Y$98,6,FALSE)</f>
        <v>214.81781672660347</v>
      </c>
      <c r="M22" s="124">
        <v>4798.1688999999997</v>
      </c>
      <c r="N22" s="124">
        <v>221.82910000000001</v>
      </c>
      <c r="O22" s="124">
        <v>0</v>
      </c>
      <c r="P22" s="121">
        <f t="shared" si="1"/>
        <v>7042.3751743800949</v>
      </c>
      <c r="Q22" s="121">
        <f>VLOOKUP($E22,'2.จัดสรรหลังSK'!$E$4:$Y$98,11,FALSE)</f>
        <v>91112090.340000004</v>
      </c>
      <c r="R22" s="121">
        <f>VLOOKUP($E22,'2.จัดสรรหลังSK'!$E$4:$Y$98,12,FALSE)</f>
        <v>17741159.030000001</v>
      </c>
      <c r="S22" s="80">
        <f>IF($H$105&lt;&gt;0,ROUND(ROUND(M22*I22,4)*P22,2),VLOOKUP($E22,'2.จัดสรรหลังSK'!$E$4:$Q$98,13,FALSE))</f>
        <v>37169556.149999999</v>
      </c>
      <c r="T22" s="121">
        <f>VLOOKUP($E22,'2.จัดสรรหลังSK'!$E$4:$Y$98,14,FALSE)</f>
        <v>2129559.36</v>
      </c>
      <c r="U22" s="121">
        <f>VLOOKUP($E22,'2.จัดสรรหลังSK'!$E$4:$Y$98,15,FALSE)</f>
        <v>0</v>
      </c>
      <c r="V22" s="123">
        <f t="shared" si="13"/>
        <v>148152364.88000003</v>
      </c>
      <c r="W22" s="123">
        <v>53633607</v>
      </c>
      <c r="X22" s="121">
        <f t="shared" si="14"/>
        <v>94518757.879999995</v>
      </c>
      <c r="Y22" s="81">
        <v>0</v>
      </c>
      <c r="Z22" s="125">
        <f t="shared" si="15"/>
        <v>94518757.879999995</v>
      </c>
      <c r="AA22" s="123">
        <f>VLOOKUP($E22,'2.จัดสรรหลังSK'!$E$4:$Y$98,21,FALSE)</f>
        <v>85023250.370000005</v>
      </c>
      <c r="AB22" s="9">
        <f t="shared" si="16"/>
        <v>9495507.5099999998</v>
      </c>
      <c r="AC22" s="126" t="str">
        <f t="shared" si="17"/>
        <v>ผ่าน</v>
      </c>
      <c r="AD22" s="128"/>
      <c r="AE22" s="123">
        <f t="shared" si="18"/>
        <v>94518757.879999995</v>
      </c>
      <c r="AF22" s="128"/>
      <c r="AG22" s="128"/>
      <c r="AH22" s="123">
        <f t="shared" si="19"/>
        <v>0</v>
      </c>
      <c r="AI22" s="123">
        <f t="shared" si="20"/>
        <v>94518757.879999995</v>
      </c>
      <c r="AJ22" s="123">
        <f t="shared" si="21"/>
        <v>94518757.879999995</v>
      </c>
    </row>
    <row r="23" spans="1:36" s="127" customFormat="1" ht="14.25" customHeight="1" outlineLevel="2">
      <c r="A23" s="119">
        <v>510</v>
      </c>
      <c r="B23" s="120" t="s">
        <v>26</v>
      </c>
      <c r="C23" s="120" t="s">
        <v>45</v>
      </c>
      <c r="D23" s="120" t="s">
        <v>46</v>
      </c>
      <c r="E23" s="120" t="s">
        <v>55</v>
      </c>
      <c r="F23" s="120" t="s">
        <v>56</v>
      </c>
      <c r="G23" s="121">
        <v>1.1499999999999999</v>
      </c>
      <c r="H23" s="89"/>
      <c r="I23" s="80">
        <f t="shared" si="0"/>
        <v>1.1499999999999999</v>
      </c>
      <c r="J23" s="122">
        <v>53672</v>
      </c>
      <c r="K23" s="123">
        <f>VLOOKUP($E23,'2.จัดสรรหลังSK'!$E$4:$Y$98,5,FALSE)</f>
        <v>1241.6546942539871</v>
      </c>
      <c r="L23" s="123">
        <f>VLOOKUP($E23,'2.จัดสรรหลังSK'!$E$4:$Y$98,6,FALSE)</f>
        <v>241.77245081234165</v>
      </c>
      <c r="M23" s="124">
        <v>2332.6136000000001</v>
      </c>
      <c r="N23" s="124">
        <v>53.698</v>
      </c>
      <c r="O23" s="124">
        <v>0</v>
      </c>
      <c r="P23" s="121">
        <f t="shared" si="1"/>
        <v>7042.3751743800949</v>
      </c>
      <c r="Q23" s="121">
        <f>VLOOKUP($E23,'2.จัดสรรหลังSK'!$E$4:$Y$98,11,FALSE)</f>
        <v>66642090.75</v>
      </c>
      <c r="R23" s="121">
        <f>VLOOKUP($E23,'2.จัดสรรหลังSK'!$E$4:$Y$98,12,FALSE)</f>
        <v>12976410.98</v>
      </c>
      <c r="S23" s="80">
        <f>IF($H$105&lt;&gt;0,ROUND(ROUND(M23*I23,4)*P23,2),VLOOKUP($E23,'2.จัดสรรหลังSK'!$E$4:$Q$98,13,FALSE))</f>
        <v>18891210.829999998</v>
      </c>
      <c r="T23" s="121">
        <f>VLOOKUP($E23,'2.จัดสรรหลังSK'!$E$4:$Y$98,14,FALSE)</f>
        <v>515500.79999999999</v>
      </c>
      <c r="U23" s="121">
        <f>VLOOKUP($E23,'2.จัดสรรหลังSK'!$E$4:$Y$98,15,FALSE)</f>
        <v>0</v>
      </c>
      <c r="V23" s="123">
        <f t="shared" si="13"/>
        <v>99025213.359999999</v>
      </c>
      <c r="W23" s="123">
        <v>34616842</v>
      </c>
      <c r="X23" s="121">
        <f t="shared" si="14"/>
        <v>64408371.359999999</v>
      </c>
      <c r="Y23" s="81">
        <v>0</v>
      </c>
      <c r="Z23" s="125">
        <f t="shared" si="15"/>
        <v>64408371.359999999</v>
      </c>
      <c r="AA23" s="123">
        <f>VLOOKUP($E23,'2.จัดสรรหลังSK'!$E$4:$Y$98,21,FALSE)</f>
        <v>58561726.520000003</v>
      </c>
      <c r="AB23" s="9">
        <f t="shared" si="16"/>
        <v>5846644.8399999999</v>
      </c>
      <c r="AC23" s="126" t="str">
        <f t="shared" si="17"/>
        <v>ผ่าน</v>
      </c>
      <c r="AD23" s="128"/>
      <c r="AE23" s="123">
        <f t="shared" si="18"/>
        <v>64408371.359999999</v>
      </c>
      <c r="AF23" s="128"/>
      <c r="AG23" s="128"/>
      <c r="AH23" s="123">
        <f t="shared" si="19"/>
        <v>0</v>
      </c>
      <c r="AI23" s="123">
        <f t="shared" si="20"/>
        <v>64408371.359999999</v>
      </c>
      <c r="AJ23" s="123">
        <f t="shared" si="21"/>
        <v>64408371.359999999</v>
      </c>
    </row>
    <row r="24" spans="1:36" s="127" customFormat="1" ht="14.25" customHeight="1" outlineLevel="2">
      <c r="A24" s="119">
        <v>511</v>
      </c>
      <c r="B24" s="120" t="s">
        <v>26</v>
      </c>
      <c r="C24" s="120" t="s">
        <v>45</v>
      </c>
      <c r="D24" s="120" t="s">
        <v>46</v>
      </c>
      <c r="E24" s="120" t="s">
        <v>57</v>
      </c>
      <c r="F24" s="120" t="s">
        <v>58</v>
      </c>
      <c r="G24" s="121">
        <v>1.3</v>
      </c>
      <c r="H24" s="89"/>
      <c r="I24" s="80">
        <f t="shared" si="0"/>
        <v>1.3</v>
      </c>
      <c r="J24" s="122">
        <v>29031</v>
      </c>
      <c r="K24" s="123">
        <f>VLOOKUP($E24,'2.จัดสรรหลังSK'!$E$4:$Y$98,5,FALSE)</f>
        <v>1445.2871857669388</v>
      </c>
      <c r="L24" s="123">
        <f>VLOOKUP($E24,'2.จัดสรรหลังSK'!$E$4:$Y$98,6,FALSE)</f>
        <v>281.4233512452206</v>
      </c>
      <c r="M24" s="124">
        <v>1602.3444</v>
      </c>
      <c r="N24" s="124">
        <v>22.819800000000001</v>
      </c>
      <c r="O24" s="124">
        <v>0</v>
      </c>
      <c r="P24" s="121">
        <f t="shared" si="1"/>
        <v>7042.3751743800949</v>
      </c>
      <c r="Q24" s="121">
        <f>VLOOKUP($E24,'2.จัดสรรหลังSK'!$E$4:$Y$98,11,FALSE)</f>
        <v>41958132.289999999</v>
      </c>
      <c r="R24" s="121">
        <f>VLOOKUP($E24,'2.จัดสรรหลังSK'!$E$4:$Y$98,12,FALSE)</f>
        <v>8170001.3099999996</v>
      </c>
      <c r="S24" s="80">
        <f>IF($H$105&lt;&gt;0,ROUND(ROUND(M24*I24,4)*P24,2),VLOOKUP($E24,'2.จัดสรรหลังSK'!$E$4:$Q$98,13,FALSE))</f>
        <v>14669603.4</v>
      </c>
      <c r="T24" s="121">
        <f>VLOOKUP($E24,'2.จัดสรรหลังSK'!$E$4:$Y$98,14,FALSE)</f>
        <v>219070.07999999999</v>
      </c>
      <c r="U24" s="121">
        <f>VLOOKUP($E24,'2.จัดสรรหลังSK'!$E$4:$Y$98,15,FALSE)</f>
        <v>0</v>
      </c>
      <c r="V24" s="123">
        <f t="shared" si="13"/>
        <v>65016807.079999998</v>
      </c>
      <c r="W24" s="123">
        <v>18922497</v>
      </c>
      <c r="X24" s="121">
        <f t="shared" si="14"/>
        <v>46094310.079999998</v>
      </c>
      <c r="Y24" s="81">
        <v>0</v>
      </c>
      <c r="Z24" s="125">
        <f t="shared" si="15"/>
        <v>46094310.079999998</v>
      </c>
      <c r="AA24" s="123">
        <f>VLOOKUP($E24,'2.จัดสรรหลังSK'!$E$4:$Y$98,21,FALSE)</f>
        <v>37703472.600000001</v>
      </c>
      <c r="AB24" s="9">
        <f t="shared" si="16"/>
        <v>8390837.4800000004</v>
      </c>
      <c r="AC24" s="126" t="str">
        <f t="shared" si="17"/>
        <v>ผ่าน</v>
      </c>
      <c r="AD24" s="128"/>
      <c r="AE24" s="123">
        <f t="shared" si="18"/>
        <v>46094310.079999998</v>
      </c>
      <c r="AF24" s="128"/>
      <c r="AG24" s="128"/>
      <c r="AH24" s="123">
        <f t="shared" si="19"/>
        <v>0</v>
      </c>
      <c r="AI24" s="123">
        <f t="shared" si="20"/>
        <v>46094310.079999998</v>
      </c>
      <c r="AJ24" s="123">
        <f t="shared" si="21"/>
        <v>46094310.079999998</v>
      </c>
    </row>
    <row r="25" spans="1:36" s="127" customFormat="1" ht="14.25" customHeight="1" outlineLevel="1">
      <c r="A25" s="180"/>
      <c r="B25" s="181"/>
      <c r="C25" s="155"/>
      <c r="D25" s="182" t="s">
        <v>280</v>
      </c>
      <c r="E25" s="181"/>
      <c r="F25" s="181"/>
      <c r="G25" s="183"/>
      <c r="H25" s="184"/>
      <c r="I25" s="185"/>
      <c r="J25" s="186">
        <f>SUBTOTAL(9,J19:J24)</f>
        <v>382838</v>
      </c>
      <c r="K25" s="187"/>
      <c r="L25" s="187"/>
      <c r="M25" s="188">
        <f t="shared" ref="M25:AB25" si="22">SUBTOTAL(9,M19:M24)</f>
        <v>36565.678999999996</v>
      </c>
      <c r="N25" s="188">
        <f t="shared" si="22"/>
        <v>1032.5001999999999</v>
      </c>
      <c r="O25" s="188">
        <f t="shared" si="22"/>
        <v>852.57910000000004</v>
      </c>
      <c r="P25" s="183"/>
      <c r="Q25" s="183">
        <f t="shared" si="22"/>
        <v>446490163.02000004</v>
      </c>
      <c r="R25" s="183">
        <f t="shared" si="22"/>
        <v>86939647.150000006</v>
      </c>
      <c r="S25" s="185">
        <f t="shared" si="22"/>
        <v>287639380.63</v>
      </c>
      <c r="T25" s="183">
        <f t="shared" si="22"/>
        <v>9912001.9200000018</v>
      </c>
      <c r="U25" s="183">
        <f t="shared" si="22"/>
        <v>7673211.9000000004</v>
      </c>
      <c r="V25" s="187">
        <f t="shared" si="22"/>
        <v>838654404.62</v>
      </c>
      <c r="W25" s="187">
        <f t="shared" si="22"/>
        <v>336842195</v>
      </c>
      <c r="X25" s="183">
        <f t="shared" si="22"/>
        <v>501812209.62</v>
      </c>
      <c r="Y25" s="183">
        <f t="shared" si="22"/>
        <v>0</v>
      </c>
      <c r="Z25" s="189">
        <f t="shared" si="22"/>
        <v>501812209.62</v>
      </c>
      <c r="AA25" s="187">
        <f t="shared" si="22"/>
        <v>440821168.71000004</v>
      </c>
      <c r="AB25" s="190">
        <f t="shared" si="22"/>
        <v>60991040.909999996</v>
      </c>
      <c r="AC25" s="191"/>
      <c r="AD25" s="192">
        <f t="shared" ref="AD25:AJ25" si="23">SUBTOTAL(9,AD19:AD24)</f>
        <v>0</v>
      </c>
      <c r="AE25" s="187">
        <f t="shared" si="23"/>
        <v>501812209.62</v>
      </c>
      <c r="AF25" s="192">
        <f t="shared" si="23"/>
        <v>0</v>
      </c>
      <c r="AG25" s="192">
        <f t="shared" si="23"/>
        <v>0</v>
      </c>
      <c r="AH25" s="187">
        <f t="shared" si="23"/>
        <v>0</v>
      </c>
      <c r="AI25" s="187">
        <f t="shared" si="23"/>
        <v>501812209.62</v>
      </c>
      <c r="AJ25" s="187">
        <f t="shared" si="23"/>
        <v>501812209.62</v>
      </c>
    </row>
    <row r="26" spans="1:36" s="127" customFormat="1" ht="14.25" customHeight="1" outlineLevel="2">
      <c r="A26" s="156">
        <v>512</v>
      </c>
      <c r="B26" s="157" t="s">
        <v>26</v>
      </c>
      <c r="C26" s="120" t="s">
        <v>59</v>
      </c>
      <c r="D26" s="157" t="s">
        <v>60</v>
      </c>
      <c r="E26" s="157" t="s">
        <v>61</v>
      </c>
      <c r="F26" s="157" t="s">
        <v>62</v>
      </c>
      <c r="G26" s="158">
        <v>1</v>
      </c>
      <c r="H26" s="159"/>
      <c r="I26" s="160">
        <f t="shared" si="0"/>
        <v>1</v>
      </c>
      <c r="J26" s="161">
        <v>259511</v>
      </c>
      <c r="K26" s="162">
        <f>VLOOKUP($E26,'2.จัดสรรหลังSK'!$E$4:$Y$98,5,FALSE)</f>
        <v>839.02528393786781</v>
      </c>
      <c r="L26" s="162">
        <f>VLOOKUP($E26,'2.จัดสรรหลังSK'!$E$4:$Y$98,6,FALSE)</f>
        <v>165.69041682240828</v>
      </c>
      <c r="M26" s="163">
        <v>118240.8075</v>
      </c>
      <c r="N26" s="163">
        <v>2770.3712999999998</v>
      </c>
      <c r="O26" s="163">
        <v>3014.2811000000002</v>
      </c>
      <c r="P26" s="158">
        <f t="shared" si="1"/>
        <v>7042.3751743800949</v>
      </c>
      <c r="Q26" s="158">
        <f>VLOOKUP($E26,'2.จัดสรรหลังSK'!$E$4:$Y$98,11,FALSE)</f>
        <v>217736290.46000001</v>
      </c>
      <c r="R26" s="158">
        <f>VLOOKUP($E26,'2.จัดสรรหลังSK'!$E$4:$Y$98,12,FALSE)</f>
        <v>42998485.759999998</v>
      </c>
      <c r="S26" s="160">
        <f>IF($H$105&lt;&gt;0,ROUND(ROUND(M26*I26,4)*P26,2),VLOOKUP($E26,'2.จัดสรรหลังSK'!$E$4:$Q$98,13,FALSE))</f>
        <v>832696126.88</v>
      </c>
      <c r="T26" s="158">
        <f>VLOOKUP($E26,'2.จัดสรรหลังSK'!$E$4:$Y$98,14,FALSE)</f>
        <v>26595564.48</v>
      </c>
      <c r="U26" s="158">
        <f>VLOOKUP($E26,'2.จัดสรรหลังSK'!$E$4:$Y$98,15,FALSE)</f>
        <v>27128529.899999999</v>
      </c>
      <c r="V26" s="162">
        <f t="shared" ref="V26:V46" si="24">SUM(Q26:U26)</f>
        <v>1147154997.48</v>
      </c>
      <c r="W26" s="162">
        <v>508411227</v>
      </c>
      <c r="X26" s="158">
        <f t="shared" ref="X26:X46" si="25">ROUND(V26-W26,2)</f>
        <v>638743770.48000002</v>
      </c>
      <c r="Y26" s="164">
        <v>0</v>
      </c>
      <c r="Z26" s="165">
        <f t="shared" ref="Z26:Z46" si="26">ROUND(X26+Y26,2)</f>
        <v>638743770.48000002</v>
      </c>
      <c r="AA26" s="162">
        <f>VLOOKUP($E26,'2.จัดสรรหลังSK'!$E$4:$Y$98,21,FALSE)</f>
        <v>621073047.52999997</v>
      </c>
      <c r="AB26" s="166">
        <f t="shared" ref="AB26:AB46" si="27">ROUND(Z26-AA26,2)</f>
        <v>17670722.949999999</v>
      </c>
      <c r="AC26" s="167" t="str">
        <f t="shared" ref="AC26:AC46" si="28">IF(Z26&gt;=AA26,"ผ่าน","ไม่ผ่าน")</f>
        <v>ผ่าน</v>
      </c>
      <c r="AD26" s="168"/>
      <c r="AE26" s="162">
        <f t="shared" ref="AE26:AE46" si="29">ROUND(Z26+AD26,2)</f>
        <v>638743770.48000002</v>
      </c>
      <c r="AF26" s="168"/>
      <c r="AG26" s="168"/>
      <c r="AH26" s="162">
        <f t="shared" ref="AH26:AH46" si="30">ROUND(AF26+AG26,2)</f>
        <v>0</v>
      </c>
      <c r="AI26" s="162">
        <f t="shared" ref="AI26:AI46" si="31">ROUND(Z26-AH26,2)</f>
        <v>638743770.48000002</v>
      </c>
      <c r="AJ26" s="162">
        <f t="shared" ref="AJ26:AJ46" si="32">ROUND(AE26-AH26,2)</f>
        <v>638743770.48000002</v>
      </c>
    </row>
    <row r="27" spans="1:36" s="127" customFormat="1" ht="14.25" customHeight="1" outlineLevel="2">
      <c r="A27" s="119">
        <v>513</v>
      </c>
      <c r="B27" s="120" t="s">
        <v>26</v>
      </c>
      <c r="C27" s="120" t="s">
        <v>59</v>
      </c>
      <c r="D27" s="120" t="s">
        <v>60</v>
      </c>
      <c r="E27" s="120" t="s">
        <v>63</v>
      </c>
      <c r="F27" s="120" t="s">
        <v>64</v>
      </c>
      <c r="G27" s="121">
        <v>1.1499999999999999</v>
      </c>
      <c r="H27" s="89"/>
      <c r="I27" s="80">
        <f t="shared" si="0"/>
        <v>1.1499999999999999</v>
      </c>
      <c r="J27" s="122">
        <v>51752</v>
      </c>
      <c r="K27" s="123">
        <f>VLOOKUP($E27,'2.จัดสรรหลังSK'!$E$4:$Y$98,5,FALSE)</f>
        <v>1238.1725355541814</v>
      </c>
      <c r="L27" s="123">
        <f>VLOOKUP($E27,'2.จัดสรรหลังSK'!$E$4:$Y$98,6,FALSE)</f>
        <v>244.51387521255216</v>
      </c>
      <c r="M27" s="124">
        <v>2591.1801999999998</v>
      </c>
      <c r="N27" s="124">
        <v>36.265500000000003</v>
      </c>
      <c r="O27" s="124">
        <v>0</v>
      </c>
      <c r="P27" s="121">
        <f t="shared" si="1"/>
        <v>7042.3751743800949</v>
      </c>
      <c r="Q27" s="121">
        <f>VLOOKUP($E27,'2.จัดสรรหลังSK'!$E$4:$Y$98,11,FALSE)</f>
        <v>64077905.060000002</v>
      </c>
      <c r="R27" s="121">
        <f>VLOOKUP($E27,'2.จัดสรรหลังSK'!$E$4:$Y$98,12,FALSE)</f>
        <v>12654082.07</v>
      </c>
      <c r="S27" s="80">
        <f>IF($H$105&lt;&gt;0,ROUND(ROUND(M27*I27,4)*P27,2),VLOOKUP($E27,'2.จัดสรรหลังSK'!$E$4:$Q$98,13,FALSE))</f>
        <v>20985272.359999999</v>
      </c>
      <c r="T27" s="121">
        <f>VLOOKUP($E27,'2.จัดสรรหลังSK'!$E$4:$Y$98,14,FALSE)</f>
        <v>348148.8</v>
      </c>
      <c r="U27" s="121">
        <f>VLOOKUP($E27,'2.จัดสรรหลังSK'!$E$4:$Y$98,15,FALSE)</f>
        <v>0</v>
      </c>
      <c r="V27" s="123">
        <f t="shared" si="24"/>
        <v>98065408.289999992</v>
      </c>
      <c r="W27" s="123">
        <v>33803447</v>
      </c>
      <c r="X27" s="121">
        <f t="shared" si="25"/>
        <v>64261961.289999999</v>
      </c>
      <c r="Y27" s="81">
        <v>0</v>
      </c>
      <c r="Z27" s="125">
        <f t="shared" si="26"/>
        <v>64261961.289999999</v>
      </c>
      <c r="AA27" s="123">
        <f>VLOOKUP($E27,'2.จัดสรรหลังSK'!$E$4:$Y$98,21,FALSE)</f>
        <v>48818763.439999998</v>
      </c>
      <c r="AB27" s="9">
        <f t="shared" si="27"/>
        <v>15443197.85</v>
      </c>
      <c r="AC27" s="126" t="str">
        <f t="shared" si="28"/>
        <v>ผ่าน</v>
      </c>
      <c r="AD27" s="128"/>
      <c r="AE27" s="123">
        <f t="shared" si="29"/>
        <v>64261961.289999999</v>
      </c>
      <c r="AF27" s="128"/>
      <c r="AG27" s="128"/>
      <c r="AH27" s="123">
        <f t="shared" si="30"/>
        <v>0</v>
      </c>
      <c r="AI27" s="123">
        <f t="shared" si="31"/>
        <v>64261961.289999999</v>
      </c>
      <c r="AJ27" s="123">
        <f t="shared" si="32"/>
        <v>64261961.289999999</v>
      </c>
    </row>
    <row r="28" spans="1:36" s="127" customFormat="1" ht="14.25" customHeight="1" outlineLevel="2">
      <c r="A28" s="119">
        <v>514</v>
      </c>
      <c r="B28" s="120" t="s">
        <v>26</v>
      </c>
      <c r="C28" s="120" t="s">
        <v>59</v>
      </c>
      <c r="D28" s="120" t="s">
        <v>60</v>
      </c>
      <c r="E28" s="120" t="s">
        <v>65</v>
      </c>
      <c r="F28" s="120" t="s">
        <v>66</v>
      </c>
      <c r="G28" s="121">
        <v>1.2</v>
      </c>
      <c r="H28" s="89"/>
      <c r="I28" s="80">
        <f t="shared" ref="I28:I95" si="33">IF(H28&lt;&gt;"",ROUND(H28,2),G28)</f>
        <v>1.2</v>
      </c>
      <c r="J28" s="122">
        <v>49952</v>
      </c>
      <c r="K28" s="123">
        <f>VLOOKUP($E28,'2.จัดสรรหลังSK'!$E$4:$Y$98,5,FALSE)</f>
        <v>1251.3981778507368</v>
      </c>
      <c r="L28" s="123">
        <f>VLOOKUP($E28,'2.จัดสรรหลังSK'!$E$4:$Y$98,6,FALSE)</f>
        <v>247.12567024343372</v>
      </c>
      <c r="M28" s="124">
        <v>2295.5652</v>
      </c>
      <c r="N28" s="124">
        <v>47.308300000000003</v>
      </c>
      <c r="O28" s="124">
        <v>0</v>
      </c>
      <c r="P28" s="121">
        <f t="shared" ref="P28:P95" si="34">$P$7</f>
        <v>7042.3751743800949</v>
      </c>
      <c r="Q28" s="121">
        <f>VLOOKUP($E28,'2.จัดสรรหลังSK'!$E$4:$Y$98,11,FALSE)</f>
        <v>62509841.780000001</v>
      </c>
      <c r="R28" s="121">
        <f>VLOOKUP($E28,'2.จัดสรรหลังSK'!$E$4:$Y$98,12,FALSE)</f>
        <v>12344421.48</v>
      </c>
      <c r="S28" s="80">
        <f>IF($H$105&lt;&gt;0,ROUND(ROUND(M28*I28,4)*P28,2),VLOOKUP($E28,'2.จัดสรรหลังSK'!$E$4:$Q$98,13,FALSE))</f>
        <v>19399477.359999999</v>
      </c>
      <c r="T28" s="121">
        <f>VLOOKUP($E28,'2.จัดสรรหลังSK'!$E$4:$Y$98,14,FALSE)</f>
        <v>454159.68</v>
      </c>
      <c r="U28" s="121">
        <f>VLOOKUP($E28,'2.จัดสรรหลังSK'!$E$4:$Y$98,15,FALSE)</f>
        <v>0</v>
      </c>
      <c r="V28" s="123">
        <f t="shared" si="24"/>
        <v>94707900.300000012</v>
      </c>
      <c r="W28" s="123">
        <v>40834521</v>
      </c>
      <c r="X28" s="121">
        <f t="shared" si="25"/>
        <v>53873379.299999997</v>
      </c>
      <c r="Y28" s="81">
        <v>0</v>
      </c>
      <c r="Z28" s="125">
        <f t="shared" si="26"/>
        <v>53873379.299999997</v>
      </c>
      <c r="AA28" s="123">
        <f>VLOOKUP($E28,'2.จัดสรรหลังSK'!$E$4:$Y$98,21,FALSE)</f>
        <v>46747503.43</v>
      </c>
      <c r="AB28" s="9">
        <f t="shared" si="27"/>
        <v>7125875.8700000001</v>
      </c>
      <c r="AC28" s="126" t="str">
        <f t="shared" si="28"/>
        <v>ผ่าน</v>
      </c>
      <c r="AD28" s="128"/>
      <c r="AE28" s="123">
        <f t="shared" si="29"/>
        <v>53873379.299999997</v>
      </c>
      <c r="AF28" s="128"/>
      <c r="AG28" s="128"/>
      <c r="AH28" s="123">
        <f t="shared" si="30"/>
        <v>0</v>
      </c>
      <c r="AI28" s="123">
        <f t="shared" si="31"/>
        <v>53873379.299999997</v>
      </c>
      <c r="AJ28" s="123">
        <f t="shared" si="32"/>
        <v>53873379.299999997</v>
      </c>
    </row>
    <row r="29" spans="1:36" s="127" customFormat="1" ht="14.25" customHeight="1" outlineLevel="2">
      <c r="A29" s="119">
        <v>515</v>
      </c>
      <c r="B29" s="120" t="s">
        <v>26</v>
      </c>
      <c r="C29" s="120" t="s">
        <v>59</v>
      </c>
      <c r="D29" s="120" t="s">
        <v>60</v>
      </c>
      <c r="E29" s="120" t="s">
        <v>67</v>
      </c>
      <c r="F29" s="120" t="s">
        <v>68</v>
      </c>
      <c r="G29" s="121">
        <v>1.1499999999999999</v>
      </c>
      <c r="H29" s="89"/>
      <c r="I29" s="80">
        <f t="shared" si="33"/>
        <v>1.1499999999999999</v>
      </c>
      <c r="J29" s="122">
        <v>84526</v>
      </c>
      <c r="K29" s="123">
        <f>VLOOKUP($E29,'2.จัดสรรหลังSK'!$E$4:$Y$98,5,FALSE)</f>
        <v>1082.3589659986276</v>
      </c>
      <c r="L29" s="123">
        <f>VLOOKUP($E29,'2.จัดสรรหลังSK'!$E$4:$Y$98,6,FALSE)</f>
        <v>213.74386650261457</v>
      </c>
      <c r="M29" s="124">
        <v>13595.438</v>
      </c>
      <c r="N29" s="124">
        <v>381.3956</v>
      </c>
      <c r="O29" s="124">
        <v>18.091799999999999</v>
      </c>
      <c r="P29" s="121">
        <f t="shared" si="34"/>
        <v>7042.3751743800949</v>
      </c>
      <c r="Q29" s="121">
        <f>VLOOKUP($E29,'2.จัดสรรหลังSK'!$E$4:$Y$98,11,FALSE)</f>
        <v>91487473.959999993</v>
      </c>
      <c r="R29" s="121">
        <f>VLOOKUP($E29,'2.จัดสรรหลังSK'!$E$4:$Y$98,12,FALSE)</f>
        <v>18066914.059999999</v>
      </c>
      <c r="S29" s="80">
        <f>IF($H$105&lt;&gt;0,ROUND(ROUND(M29*I29,4)*P29,2),VLOOKUP($E29,'2.จัดสรรหลังSK'!$E$4:$Q$98,13,FALSE))</f>
        <v>110105801.25</v>
      </c>
      <c r="T29" s="121">
        <f>VLOOKUP($E29,'2.จัดสรรหลังSK'!$E$4:$Y$98,14,FALSE)</f>
        <v>3661397.76</v>
      </c>
      <c r="U29" s="121">
        <f>VLOOKUP($E29,'2.จัดสรรหลังSK'!$E$4:$Y$98,15,FALSE)</f>
        <v>162826.20000000001</v>
      </c>
      <c r="V29" s="123">
        <f t="shared" si="24"/>
        <v>223484413.22999996</v>
      </c>
      <c r="W29" s="123">
        <v>96803058</v>
      </c>
      <c r="X29" s="121">
        <f t="shared" si="25"/>
        <v>126681355.23</v>
      </c>
      <c r="Y29" s="81">
        <v>0</v>
      </c>
      <c r="Z29" s="125">
        <f t="shared" si="26"/>
        <v>126681355.23</v>
      </c>
      <c r="AA29" s="123">
        <f>VLOOKUP($E29,'2.จัดสรรหลังSK'!$E$4:$Y$98,21,FALSE)</f>
        <v>106560462.81999999</v>
      </c>
      <c r="AB29" s="9">
        <f t="shared" si="27"/>
        <v>20120892.41</v>
      </c>
      <c r="AC29" s="126" t="str">
        <f t="shared" si="28"/>
        <v>ผ่าน</v>
      </c>
      <c r="AD29" s="128"/>
      <c r="AE29" s="123">
        <f t="shared" si="29"/>
        <v>126681355.23</v>
      </c>
      <c r="AF29" s="128"/>
      <c r="AG29" s="128"/>
      <c r="AH29" s="123">
        <f t="shared" si="30"/>
        <v>0</v>
      </c>
      <c r="AI29" s="123">
        <f t="shared" si="31"/>
        <v>126681355.23</v>
      </c>
      <c r="AJ29" s="123">
        <f t="shared" si="32"/>
        <v>126681355.23</v>
      </c>
    </row>
    <row r="30" spans="1:36" s="127" customFormat="1" ht="14.25" customHeight="1" outlineLevel="2">
      <c r="A30" s="119">
        <v>516</v>
      </c>
      <c r="B30" s="120" t="s">
        <v>26</v>
      </c>
      <c r="C30" s="120" t="s">
        <v>59</v>
      </c>
      <c r="D30" s="120" t="s">
        <v>60</v>
      </c>
      <c r="E30" s="120" t="s">
        <v>69</v>
      </c>
      <c r="F30" s="120" t="s">
        <v>70</v>
      </c>
      <c r="G30" s="121">
        <v>1.5</v>
      </c>
      <c r="H30" s="89"/>
      <c r="I30" s="80">
        <f t="shared" si="33"/>
        <v>1.5</v>
      </c>
      <c r="J30" s="122">
        <v>4061</v>
      </c>
      <c r="K30" s="123">
        <f>VLOOKUP($E30,'2.จัดสรรหลังSK'!$E$4:$Y$98,5,FALSE)</f>
        <v>1737.6587761635064</v>
      </c>
      <c r="L30" s="123">
        <f>VLOOKUP($E30,'2.จัดสรรหลังSK'!$E$4:$Y$98,6,FALSE)</f>
        <v>343.1522408273824</v>
      </c>
      <c r="M30" s="124">
        <v>0</v>
      </c>
      <c r="N30" s="124">
        <v>0</v>
      </c>
      <c r="O30" s="124">
        <v>0</v>
      </c>
      <c r="P30" s="121">
        <f t="shared" si="34"/>
        <v>7042.3751743800949</v>
      </c>
      <c r="Q30" s="121">
        <f>VLOOKUP($E30,'2.จัดสรรหลังSK'!$E$4:$Y$98,11,FALSE)</f>
        <v>7056632.29</v>
      </c>
      <c r="R30" s="121">
        <f>VLOOKUP($E30,'2.จัดสรรหลังSK'!$E$4:$Y$98,12,FALSE)</f>
        <v>1393541.25</v>
      </c>
      <c r="S30" s="80">
        <f>IF($H$105&lt;&gt;0,ROUND(ROUND(M30*I30,4)*P30,2),VLOOKUP($E30,'2.จัดสรรหลังSK'!$E$4:$Q$98,13,FALSE))</f>
        <v>0</v>
      </c>
      <c r="T30" s="121">
        <f>VLOOKUP($E30,'2.จัดสรรหลังSK'!$E$4:$Y$98,14,FALSE)</f>
        <v>0</v>
      </c>
      <c r="U30" s="121">
        <f>VLOOKUP($E30,'2.จัดสรรหลังSK'!$E$4:$Y$98,15,FALSE)</f>
        <v>0</v>
      </c>
      <c r="V30" s="123">
        <f t="shared" si="24"/>
        <v>8450173.5399999991</v>
      </c>
      <c r="W30" s="123">
        <v>7863327</v>
      </c>
      <c r="X30" s="121">
        <f t="shared" si="25"/>
        <v>586846.54</v>
      </c>
      <c r="Y30" s="81">
        <v>9413153.4600000009</v>
      </c>
      <c r="Z30" s="125">
        <f t="shared" si="26"/>
        <v>10000000</v>
      </c>
      <c r="AA30" s="123">
        <f>VLOOKUP($E30,'2.จัดสรรหลังSK'!$E$4:$Y$98,21,FALSE)</f>
        <v>10000000</v>
      </c>
      <c r="AB30" s="9">
        <f t="shared" si="27"/>
        <v>0</v>
      </c>
      <c r="AC30" s="126" t="str">
        <f t="shared" si="28"/>
        <v>ผ่าน</v>
      </c>
      <c r="AD30" s="128"/>
      <c r="AE30" s="123">
        <f t="shared" si="29"/>
        <v>10000000</v>
      </c>
      <c r="AF30" s="128"/>
      <c r="AG30" s="128"/>
      <c r="AH30" s="123">
        <f t="shared" si="30"/>
        <v>0</v>
      </c>
      <c r="AI30" s="123">
        <f t="shared" si="31"/>
        <v>10000000</v>
      </c>
      <c r="AJ30" s="123">
        <f t="shared" si="32"/>
        <v>10000000</v>
      </c>
    </row>
    <row r="31" spans="1:36" s="127" customFormat="1" ht="14.25" customHeight="1" outlineLevel="2">
      <c r="A31" s="119">
        <v>517</v>
      </c>
      <c r="B31" s="120" t="s">
        <v>26</v>
      </c>
      <c r="C31" s="120" t="s">
        <v>59</v>
      </c>
      <c r="D31" s="120" t="s">
        <v>60</v>
      </c>
      <c r="E31" s="120" t="s">
        <v>71</v>
      </c>
      <c r="F31" s="120" t="s">
        <v>72</v>
      </c>
      <c r="G31" s="121">
        <v>1.25</v>
      </c>
      <c r="H31" s="89"/>
      <c r="I31" s="80">
        <f t="shared" si="33"/>
        <v>1.25</v>
      </c>
      <c r="J31" s="122">
        <v>37153</v>
      </c>
      <c r="K31" s="123">
        <f>VLOOKUP($E31,'2.จัดสรรหลังSK'!$E$4:$Y$98,5,FALSE)</f>
        <v>1346.6025346539982</v>
      </c>
      <c r="L31" s="123">
        <f>VLOOKUP($E31,'2.จัดสรรหลังSK'!$E$4:$Y$98,6,FALSE)</f>
        <v>265.92659300729417</v>
      </c>
      <c r="M31" s="124">
        <v>2169.4890999999998</v>
      </c>
      <c r="N31" s="124">
        <v>34.862499999999997</v>
      </c>
      <c r="O31" s="124">
        <v>6.1119000000000003</v>
      </c>
      <c r="P31" s="121">
        <f t="shared" si="34"/>
        <v>7042.3751743800949</v>
      </c>
      <c r="Q31" s="121">
        <f>VLOOKUP($E31,'2.จัดสรรหลังSK'!$E$4:$Y$98,11,FALSE)</f>
        <v>50030323.969999999</v>
      </c>
      <c r="R31" s="121">
        <f>VLOOKUP($E31,'2.จัดสรรหลังSK'!$E$4:$Y$98,12,FALSE)</f>
        <v>9879970.7100000009</v>
      </c>
      <c r="S31" s="80">
        <f>IF($H$105&lt;&gt;0,ROUND(ROUND(M31*I31,4)*P31,2),VLOOKUP($E31,'2.จัดสรรหลังSK'!$E$4:$Q$98,13,FALSE))</f>
        <v>19097945.390000001</v>
      </c>
      <c r="T31" s="121">
        <f>VLOOKUP($E31,'2.จัดสรรหลังSK'!$E$4:$Y$98,14,FALSE)</f>
        <v>334680</v>
      </c>
      <c r="U31" s="121">
        <f>VLOOKUP($E31,'2.จัดสรรหลังSK'!$E$4:$Y$98,15,FALSE)</f>
        <v>55007.1</v>
      </c>
      <c r="V31" s="123">
        <f t="shared" si="24"/>
        <v>79397927.169999987</v>
      </c>
      <c r="W31" s="123">
        <v>29450868</v>
      </c>
      <c r="X31" s="121">
        <f t="shared" si="25"/>
        <v>49947059.170000002</v>
      </c>
      <c r="Y31" s="81">
        <v>0</v>
      </c>
      <c r="Z31" s="125">
        <f t="shared" si="26"/>
        <v>49947059.170000002</v>
      </c>
      <c r="AA31" s="123">
        <f>VLOOKUP($E31,'2.จัดสรรหลังSK'!$E$4:$Y$98,21,FALSE)</f>
        <v>39966858.119999997</v>
      </c>
      <c r="AB31" s="9">
        <f t="shared" si="27"/>
        <v>9980201.0500000007</v>
      </c>
      <c r="AC31" s="126" t="str">
        <f t="shared" si="28"/>
        <v>ผ่าน</v>
      </c>
      <c r="AD31" s="128"/>
      <c r="AE31" s="123">
        <f t="shared" si="29"/>
        <v>49947059.170000002</v>
      </c>
      <c r="AF31" s="128"/>
      <c r="AG31" s="128"/>
      <c r="AH31" s="123">
        <f t="shared" si="30"/>
        <v>0</v>
      </c>
      <c r="AI31" s="123">
        <f t="shared" si="31"/>
        <v>49947059.170000002</v>
      </c>
      <c r="AJ31" s="123">
        <f t="shared" si="32"/>
        <v>49947059.170000002</v>
      </c>
    </row>
    <row r="32" spans="1:36" s="127" customFormat="1" ht="14.25" customHeight="1" outlineLevel="2">
      <c r="A32" s="119">
        <v>518</v>
      </c>
      <c r="B32" s="120" t="s">
        <v>26</v>
      </c>
      <c r="C32" s="120" t="s">
        <v>59</v>
      </c>
      <c r="D32" s="120" t="s">
        <v>60</v>
      </c>
      <c r="E32" s="120" t="s">
        <v>73</v>
      </c>
      <c r="F32" s="120" t="s">
        <v>74</v>
      </c>
      <c r="G32" s="121">
        <v>1.1000000000000001</v>
      </c>
      <c r="H32" s="89"/>
      <c r="I32" s="80">
        <f t="shared" si="33"/>
        <v>1.1000000000000001</v>
      </c>
      <c r="J32" s="122">
        <v>91710</v>
      </c>
      <c r="K32" s="123">
        <f>VLOOKUP($E32,'2.จัดสรรหลังSK'!$E$4:$Y$98,5,FALSE)</f>
        <v>1061.4194292879729</v>
      </c>
      <c r="L32" s="123">
        <f>VLOOKUP($E32,'2.จัดสรรหลังSK'!$E$4:$Y$98,6,FALSE)</f>
        <v>209.6087341620325</v>
      </c>
      <c r="M32" s="124">
        <v>6241.1603999999998</v>
      </c>
      <c r="N32" s="124">
        <v>88.013599999999997</v>
      </c>
      <c r="O32" s="124">
        <v>8.5539000000000005</v>
      </c>
      <c r="P32" s="121">
        <f t="shared" si="34"/>
        <v>7042.3751743800949</v>
      </c>
      <c r="Q32" s="121">
        <f>VLOOKUP($E32,'2.จัดสรรหลังSK'!$E$4:$Y$98,11,FALSE)</f>
        <v>97342775.859999999</v>
      </c>
      <c r="R32" s="121">
        <f>VLOOKUP($E32,'2.จัดสรรหลังSK'!$E$4:$Y$98,12,FALSE)</f>
        <v>19223217.010000002</v>
      </c>
      <c r="S32" s="80">
        <f>IF($H$105&lt;&gt;0,ROUND(ROUND(M32*I32,4)*P32,2),VLOOKUP($E32,'2.จัดสรรหลังSK'!$E$4:$Q$98,13,FALSE))</f>
        <v>48347852.060000002</v>
      </c>
      <c r="T32" s="121">
        <f>VLOOKUP($E32,'2.จัดสรรหลังSK'!$E$4:$Y$98,14,FALSE)</f>
        <v>844930.56000000006</v>
      </c>
      <c r="U32" s="121">
        <f>VLOOKUP($E32,'2.จัดสรรหลังSK'!$E$4:$Y$98,15,FALSE)</f>
        <v>76985.100000000006</v>
      </c>
      <c r="V32" s="123">
        <f t="shared" si="24"/>
        <v>165835760.59</v>
      </c>
      <c r="W32" s="123">
        <v>69390201</v>
      </c>
      <c r="X32" s="121">
        <f t="shared" si="25"/>
        <v>96445559.590000004</v>
      </c>
      <c r="Y32" s="81">
        <v>0</v>
      </c>
      <c r="Z32" s="125">
        <f t="shared" si="26"/>
        <v>96445559.590000004</v>
      </c>
      <c r="AA32" s="123">
        <f>VLOOKUP($E32,'2.จัดสรรหลังSK'!$E$4:$Y$98,21,FALSE)</f>
        <v>86754270.340000004</v>
      </c>
      <c r="AB32" s="9">
        <f t="shared" si="27"/>
        <v>9691289.25</v>
      </c>
      <c r="AC32" s="126" t="str">
        <f t="shared" si="28"/>
        <v>ผ่าน</v>
      </c>
      <c r="AD32" s="128"/>
      <c r="AE32" s="123">
        <f t="shared" si="29"/>
        <v>96445559.590000004</v>
      </c>
      <c r="AF32" s="128"/>
      <c r="AG32" s="128"/>
      <c r="AH32" s="123">
        <f t="shared" si="30"/>
        <v>0</v>
      </c>
      <c r="AI32" s="123">
        <f t="shared" si="31"/>
        <v>96445559.590000004</v>
      </c>
      <c r="AJ32" s="123">
        <f t="shared" si="32"/>
        <v>96445559.590000004</v>
      </c>
    </row>
    <row r="33" spans="1:36" s="127" customFormat="1" ht="14.25" customHeight="1" outlineLevel="2">
      <c r="A33" s="119">
        <v>519</v>
      </c>
      <c r="B33" s="120" t="s">
        <v>26</v>
      </c>
      <c r="C33" s="120" t="s">
        <v>59</v>
      </c>
      <c r="D33" s="120" t="s">
        <v>60</v>
      </c>
      <c r="E33" s="120" t="s">
        <v>75</v>
      </c>
      <c r="F33" s="120" t="s">
        <v>76</v>
      </c>
      <c r="G33" s="121">
        <v>1.3</v>
      </c>
      <c r="H33" s="89"/>
      <c r="I33" s="80">
        <f t="shared" si="33"/>
        <v>1.3</v>
      </c>
      <c r="J33" s="122">
        <v>25272</v>
      </c>
      <c r="K33" s="123">
        <f>VLOOKUP($E33,'2.จัดสรรหลังSK'!$E$4:$Y$98,5,FALSE)</f>
        <v>1457.0150581671414</v>
      </c>
      <c r="L33" s="123">
        <f>VLOOKUP($E33,'2.จัดสรรหลังSK'!$E$4:$Y$98,6,FALSE)</f>
        <v>287.73081908831909</v>
      </c>
      <c r="M33" s="124">
        <v>1172.5636</v>
      </c>
      <c r="N33" s="124">
        <v>12.6966</v>
      </c>
      <c r="O33" s="124">
        <v>0</v>
      </c>
      <c r="P33" s="121">
        <f t="shared" si="34"/>
        <v>7042.3751743800949</v>
      </c>
      <c r="Q33" s="121">
        <f>VLOOKUP($E33,'2.จัดสรรหลังSK'!$E$4:$Y$98,11,FALSE)</f>
        <v>36821684.549999997</v>
      </c>
      <c r="R33" s="121">
        <f>VLOOKUP($E33,'2.จัดสรรหลังSK'!$E$4:$Y$98,12,FALSE)</f>
        <v>7271533.2599999998</v>
      </c>
      <c r="S33" s="80">
        <f>IF($H$105&lt;&gt;0,ROUND(ROUND(M33*I33,4)*P33,2),VLOOKUP($E33,'2.จัดสรรหลังSK'!$E$4:$Q$98,13,FALSE))</f>
        <v>10734922.76</v>
      </c>
      <c r="T33" s="121">
        <f>VLOOKUP($E33,'2.จัดสรรหลังSK'!$E$4:$Y$98,14,FALSE)</f>
        <v>121887.36</v>
      </c>
      <c r="U33" s="121">
        <f>VLOOKUP($E33,'2.จัดสรรหลังSK'!$E$4:$Y$98,15,FALSE)</f>
        <v>0</v>
      </c>
      <c r="V33" s="123">
        <f t="shared" si="24"/>
        <v>54950027.929999992</v>
      </c>
      <c r="W33" s="123">
        <v>22580514</v>
      </c>
      <c r="X33" s="121">
        <f t="shared" si="25"/>
        <v>32369513.93</v>
      </c>
      <c r="Y33" s="81">
        <v>0</v>
      </c>
      <c r="Z33" s="125">
        <f t="shared" si="26"/>
        <v>32369513.93</v>
      </c>
      <c r="AA33" s="123">
        <f>VLOOKUP($E33,'2.จัดสรรหลังSK'!$E$4:$Y$98,21,FALSE)</f>
        <v>27500653.43</v>
      </c>
      <c r="AB33" s="9">
        <f t="shared" si="27"/>
        <v>4868860.5</v>
      </c>
      <c r="AC33" s="126" t="str">
        <f t="shared" si="28"/>
        <v>ผ่าน</v>
      </c>
      <c r="AD33" s="128"/>
      <c r="AE33" s="123">
        <f t="shared" si="29"/>
        <v>32369513.93</v>
      </c>
      <c r="AF33" s="128"/>
      <c r="AG33" s="128"/>
      <c r="AH33" s="123">
        <f t="shared" si="30"/>
        <v>0</v>
      </c>
      <c r="AI33" s="123">
        <f t="shared" si="31"/>
        <v>32369513.93</v>
      </c>
      <c r="AJ33" s="123">
        <f t="shared" si="32"/>
        <v>32369513.93</v>
      </c>
    </row>
    <row r="34" spans="1:36" s="127" customFormat="1" ht="14.25" customHeight="1" outlineLevel="2">
      <c r="A34" s="119">
        <v>520</v>
      </c>
      <c r="B34" s="120" t="s">
        <v>26</v>
      </c>
      <c r="C34" s="120" t="s">
        <v>59</v>
      </c>
      <c r="D34" s="120" t="s">
        <v>60</v>
      </c>
      <c r="E34" s="120" t="s">
        <v>77</v>
      </c>
      <c r="F34" s="120" t="s">
        <v>78</v>
      </c>
      <c r="G34" s="121">
        <v>1.3</v>
      </c>
      <c r="H34" s="89"/>
      <c r="I34" s="80">
        <f t="shared" si="33"/>
        <v>1.3</v>
      </c>
      <c r="J34" s="122">
        <v>29850</v>
      </c>
      <c r="K34" s="123">
        <f>VLOOKUP($E34,'2.จัดสรรหลังSK'!$E$4:$Y$98,5,FALSE)</f>
        <v>1420.1067293132328</v>
      </c>
      <c r="L34" s="123">
        <f>VLOOKUP($E34,'2.จัดสรรหลังSK'!$E$4:$Y$98,6,FALSE)</f>
        <v>280.44217554438865</v>
      </c>
      <c r="M34" s="124">
        <v>1118.5631000000001</v>
      </c>
      <c r="N34" s="124">
        <v>20.002199999999998</v>
      </c>
      <c r="O34" s="124">
        <v>0</v>
      </c>
      <c r="P34" s="121">
        <f t="shared" si="34"/>
        <v>7042.3751743800949</v>
      </c>
      <c r="Q34" s="121">
        <f>VLOOKUP($E34,'2.จัดสรรหลังSK'!$E$4:$Y$98,11,FALSE)</f>
        <v>42390185.869999997</v>
      </c>
      <c r="R34" s="121">
        <f>VLOOKUP($E34,'2.จัดสรรหลังSK'!$E$4:$Y$98,12,FALSE)</f>
        <v>8371198.9400000004</v>
      </c>
      <c r="S34" s="80">
        <f>IF($H$105&lt;&gt;0,ROUND(ROUND(M34*I34,4)*P34,2),VLOOKUP($E34,'2.จัดสรรหลังSK'!$E$4:$Q$98,13,FALSE))</f>
        <v>10240543.09</v>
      </c>
      <c r="T34" s="121">
        <f>VLOOKUP($E34,'2.จัดสรรหลังSK'!$E$4:$Y$98,14,FALSE)</f>
        <v>192021.12</v>
      </c>
      <c r="U34" s="121">
        <f>VLOOKUP($E34,'2.จัดสรรหลังSK'!$E$4:$Y$98,15,FALSE)</f>
        <v>0</v>
      </c>
      <c r="V34" s="123">
        <f t="shared" si="24"/>
        <v>61193949.019999988</v>
      </c>
      <c r="W34" s="123">
        <v>19840224</v>
      </c>
      <c r="X34" s="121">
        <f t="shared" si="25"/>
        <v>41353725.020000003</v>
      </c>
      <c r="Y34" s="81">
        <v>0</v>
      </c>
      <c r="Z34" s="125">
        <f t="shared" si="26"/>
        <v>41353725.020000003</v>
      </c>
      <c r="AA34" s="123">
        <f>VLOOKUP($E34,'2.จัดสรรหลังSK'!$E$4:$Y$98,21,FALSE)</f>
        <v>34865709.25</v>
      </c>
      <c r="AB34" s="9">
        <f t="shared" si="27"/>
        <v>6488015.7699999996</v>
      </c>
      <c r="AC34" s="126" t="str">
        <f t="shared" si="28"/>
        <v>ผ่าน</v>
      </c>
      <c r="AD34" s="128"/>
      <c r="AE34" s="123">
        <f t="shared" si="29"/>
        <v>41353725.020000003</v>
      </c>
      <c r="AF34" s="128"/>
      <c r="AG34" s="128"/>
      <c r="AH34" s="123">
        <f t="shared" si="30"/>
        <v>0</v>
      </c>
      <c r="AI34" s="123">
        <f t="shared" si="31"/>
        <v>41353725.020000003</v>
      </c>
      <c r="AJ34" s="123">
        <f t="shared" si="32"/>
        <v>41353725.020000003</v>
      </c>
    </row>
    <row r="35" spans="1:36" s="127" customFormat="1" ht="14.25" customHeight="1" outlineLevel="2">
      <c r="A35" s="119">
        <v>521</v>
      </c>
      <c r="B35" s="120" t="s">
        <v>26</v>
      </c>
      <c r="C35" s="120" t="s">
        <v>59</v>
      </c>
      <c r="D35" s="120" t="s">
        <v>60</v>
      </c>
      <c r="E35" s="120" t="s">
        <v>79</v>
      </c>
      <c r="F35" s="120" t="s">
        <v>80</v>
      </c>
      <c r="G35" s="121">
        <v>1.25</v>
      </c>
      <c r="H35" s="89"/>
      <c r="I35" s="80">
        <f t="shared" si="33"/>
        <v>1.25</v>
      </c>
      <c r="J35" s="122">
        <v>36573</v>
      </c>
      <c r="K35" s="123">
        <f>VLOOKUP($E35,'2.จัดสรรหลังSK'!$E$4:$Y$98,5,FALSE)</f>
        <v>1351.4236928881962</v>
      </c>
      <c r="L35" s="123">
        <f>VLOOKUP($E35,'2.จัดสรรหลังSK'!$E$4:$Y$98,6,FALSE)</f>
        <v>266.87867361168077</v>
      </c>
      <c r="M35" s="124">
        <v>1688.8957</v>
      </c>
      <c r="N35" s="124">
        <v>27.6968</v>
      </c>
      <c r="O35" s="124">
        <v>0</v>
      </c>
      <c r="P35" s="121">
        <f t="shared" si="34"/>
        <v>7042.3751743800949</v>
      </c>
      <c r="Q35" s="121">
        <f>VLOOKUP($E35,'2.จัดสรรหลังSK'!$E$4:$Y$98,11,FALSE)</f>
        <v>49425618.719999999</v>
      </c>
      <c r="R35" s="121">
        <f>VLOOKUP($E35,'2.จัดสรรหลังSK'!$E$4:$Y$98,12,FALSE)</f>
        <v>9760553.7300000004</v>
      </c>
      <c r="S35" s="80">
        <f>IF($H$105&lt;&gt;0,ROUND(ROUND(M35*I35,4)*P35,2),VLOOKUP($E35,'2.จัดสรรหลังSK'!$E$4:$Q$98,13,FALSE))</f>
        <v>14867296.25</v>
      </c>
      <c r="T35" s="121">
        <f>VLOOKUP($E35,'2.จัดสรรหลังSK'!$E$4:$Y$98,14,FALSE)</f>
        <v>265889.28000000003</v>
      </c>
      <c r="U35" s="121">
        <f>VLOOKUP($E35,'2.จัดสรรหลังSK'!$E$4:$Y$98,15,FALSE)</f>
        <v>0</v>
      </c>
      <c r="V35" s="123">
        <f t="shared" si="24"/>
        <v>74319357.980000004</v>
      </c>
      <c r="W35" s="123">
        <v>29005878</v>
      </c>
      <c r="X35" s="121">
        <f t="shared" si="25"/>
        <v>45313479.979999997</v>
      </c>
      <c r="Y35" s="81">
        <v>0</v>
      </c>
      <c r="Z35" s="125">
        <f t="shared" si="26"/>
        <v>45313479.979999997</v>
      </c>
      <c r="AA35" s="123">
        <f>VLOOKUP($E35,'2.จัดสรรหลังSK'!$E$4:$Y$98,21,FALSE)</f>
        <v>39762029.600000001</v>
      </c>
      <c r="AB35" s="9">
        <f t="shared" si="27"/>
        <v>5551450.3799999999</v>
      </c>
      <c r="AC35" s="126" t="str">
        <f t="shared" si="28"/>
        <v>ผ่าน</v>
      </c>
      <c r="AD35" s="128"/>
      <c r="AE35" s="123">
        <f t="shared" si="29"/>
        <v>45313479.979999997</v>
      </c>
      <c r="AF35" s="128"/>
      <c r="AG35" s="128"/>
      <c r="AH35" s="123">
        <f t="shared" si="30"/>
        <v>0</v>
      </c>
      <c r="AI35" s="123">
        <f t="shared" si="31"/>
        <v>45313479.979999997</v>
      </c>
      <c r="AJ35" s="123">
        <f t="shared" si="32"/>
        <v>45313479.979999997</v>
      </c>
    </row>
    <row r="36" spans="1:36" s="127" customFormat="1" ht="14.25" customHeight="1" outlineLevel="2">
      <c r="A36" s="119">
        <v>522</v>
      </c>
      <c r="B36" s="120" t="s">
        <v>26</v>
      </c>
      <c r="C36" s="120" t="s">
        <v>59</v>
      </c>
      <c r="D36" s="120" t="s">
        <v>60</v>
      </c>
      <c r="E36" s="120" t="s">
        <v>81</v>
      </c>
      <c r="F36" s="120" t="s">
        <v>82</v>
      </c>
      <c r="G36" s="121">
        <v>1.2</v>
      </c>
      <c r="H36" s="89"/>
      <c r="I36" s="80">
        <f t="shared" si="33"/>
        <v>1.2</v>
      </c>
      <c r="J36" s="122">
        <v>43596</v>
      </c>
      <c r="K36" s="123">
        <f>VLOOKUP($E36,'2.จัดสรรหลังSK'!$E$4:$Y$98,5,FALSE)</f>
        <v>1294.5071618955867</v>
      </c>
      <c r="L36" s="123">
        <f>VLOOKUP($E36,'2.จัดสรรหลังSK'!$E$4:$Y$98,6,FALSE)</f>
        <v>255.63881732269019</v>
      </c>
      <c r="M36" s="124">
        <v>2450.2330999999999</v>
      </c>
      <c r="N36" s="124">
        <v>56.857900000000001</v>
      </c>
      <c r="O36" s="124">
        <v>0</v>
      </c>
      <c r="P36" s="121">
        <f t="shared" si="34"/>
        <v>7042.3751743800949</v>
      </c>
      <c r="Q36" s="121">
        <f>VLOOKUP($E36,'2.จัดสรรหลังSK'!$E$4:$Y$98,11,FALSE)</f>
        <v>56435334.229999997</v>
      </c>
      <c r="R36" s="121">
        <f>VLOOKUP($E36,'2.จัดสรรหลังSK'!$E$4:$Y$98,12,FALSE)</f>
        <v>11144829.880000001</v>
      </c>
      <c r="S36" s="80">
        <f>IF($H$105&lt;&gt;0,ROUND(ROUND(M36*I36,4)*P36,2),VLOOKUP($E36,'2.จัดสรรหลังSK'!$E$4:$Q$98,13,FALSE))</f>
        <v>20706552.75</v>
      </c>
      <c r="T36" s="121">
        <f>VLOOKUP($E36,'2.จัดสรรหลังSK'!$E$4:$Y$98,14,FALSE)</f>
        <v>545835.84</v>
      </c>
      <c r="U36" s="121">
        <f>VLOOKUP($E36,'2.จัดสรรหลังSK'!$E$4:$Y$98,15,FALSE)</f>
        <v>0</v>
      </c>
      <c r="V36" s="123">
        <f t="shared" si="24"/>
        <v>88832552.700000003</v>
      </c>
      <c r="W36" s="123">
        <v>32989170</v>
      </c>
      <c r="X36" s="121">
        <f t="shared" si="25"/>
        <v>55843382.700000003</v>
      </c>
      <c r="Y36" s="81">
        <v>0</v>
      </c>
      <c r="Z36" s="125">
        <f t="shared" si="26"/>
        <v>55843382.700000003</v>
      </c>
      <c r="AA36" s="123">
        <f>VLOOKUP($E36,'2.จัดสรรหลังSK'!$E$4:$Y$98,21,FALSE)</f>
        <v>49821461.280000001</v>
      </c>
      <c r="AB36" s="9">
        <f t="shared" si="27"/>
        <v>6021921.4199999999</v>
      </c>
      <c r="AC36" s="126" t="str">
        <f t="shared" si="28"/>
        <v>ผ่าน</v>
      </c>
      <c r="AD36" s="128"/>
      <c r="AE36" s="123">
        <f t="shared" si="29"/>
        <v>55843382.700000003</v>
      </c>
      <c r="AF36" s="128"/>
      <c r="AG36" s="128"/>
      <c r="AH36" s="123">
        <f t="shared" si="30"/>
        <v>0</v>
      </c>
      <c r="AI36" s="123">
        <f t="shared" si="31"/>
        <v>55843382.700000003</v>
      </c>
      <c r="AJ36" s="123">
        <f t="shared" si="32"/>
        <v>55843382.700000003</v>
      </c>
    </row>
    <row r="37" spans="1:36" s="127" customFormat="1" ht="14.25" customHeight="1" outlineLevel="2">
      <c r="A37" s="119">
        <v>523</v>
      </c>
      <c r="B37" s="120" t="s">
        <v>26</v>
      </c>
      <c r="C37" s="120" t="s">
        <v>59</v>
      </c>
      <c r="D37" s="120" t="s">
        <v>60</v>
      </c>
      <c r="E37" s="120" t="s">
        <v>83</v>
      </c>
      <c r="F37" s="120" t="s">
        <v>84</v>
      </c>
      <c r="G37" s="121">
        <v>1.1000000000000001</v>
      </c>
      <c r="H37" s="89"/>
      <c r="I37" s="80">
        <f t="shared" si="33"/>
        <v>1.1000000000000001</v>
      </c>
      <c r="J37" s="122">
        <v>87077</v>
      </c>
      <c r="K37" s="123">
        <f>VLOOKUP($E37,'2.จัดสรรหลังSK'!$E$4:$Y$98,5,FALSE)</f>
        <v>1074.8307651848365</v>
      </c>
      <c r="L37" s="123">
        <f>VLOOKUP($E37,'2.จัดสรรหลังSK'!$E$4:$Y$98,6,FALSE)</f>
        <v>212.25719994946999</v>
      </c>
      <c r="M37" s="124">
        <v>6250.7851000000001</v>
      </c>
      <c r="N37" s="124">
        <v>106.669</v>
      </c>
      <c r="O37" s="124">
        <v>0</v>
      </c>
      <c r="P37" s="121">
        <f t="shared" si="34"/>
        <v>7042.3751743800949</v>
      </c>
      <c r="Q37" s="121">
        <f>VLOOKUP($E37,'2.จัดสรรหลังSK'!$E$4:$Y$98,11,FALSE)</f>
        <v>93593038.540000007</v>
      </c>
      <c r="R37" s="121">
        <f>VLOOKUP($E37,'2.จัดสรรหลังSK'!$E$4:$Y$98,12,FALSE)</f>
        <v>18482720.199999999</v>
      </c>
      <c r="S37" s="80">
        <f>IF($H$105&lt;&gt;0,ROUND(ROUND(M37*I37,4)*P37,2),VLOOKUP($E37,'2.จัดสรรหลังSK'!$E$4:$Q$98,13,FALSE))</f>
        <v>48422411.090000004</v>
      </c>
      <c r="T37" s="121">
        <f>VLOOKUP($E37,'2.จัดสรรหลังSK'!$E$4:$Y$98,14,FALSE)</f>
        <v>1024022.4</v>
      </c>
      <c r="U37" s="121">
        <f>VLOOKUP($E37,'2.จัดสรรหลังSK'!$E$4:$Y$98,15,FALSE)</f>
        <v>0</v>
      </c>
      <c r="V37" s="123">
        <f t="shared" si="24"/>
        <v>161522192.23000002</v>
      </c>
      <c r="W37" s="123">
        <v>59205656</v>
      </c>
      <c r="X37" s="121">
        <f t="shared" si="25"/>
        <v>102316536.23</v>
      </c>
      <c r="Y37" s="81">
        <v>0</v>
      </c>
      <c r="Z37" s="125">
        <f t="shared" si="26"/>
        <v>102316536.23</v>
      </c>
      <c r="AA37" s="123">
        <f>VLOOKUP($E37,'2.จัดสรรหลังSK'!$E$4:$Y$98,21,FALSE)</f>
        <v>88220657.040000007</v>
      </c>
      <c r="AB37" s="9">
        <f t="shared" si="27"/>
        <v>14095879.189999999</v>
      </c>
      <c r="AC37" s="126" t="str">
        <f t="shared" si="28"/>
        <v>ผ่าน</v>
      </c>
      <c r="AD37" s="128"/>
      <c r="AE37" s="123">
        <f t="shared" si="29"/>
        <v>102316536.23</v>
      </c>
      <c r="AF37" s="128"/>
      <c r="AG37" s="128"/>
      <c r="AH37" s="123">
        <f t="shared" si="30"/>
        <v>0</v>
      </c>
      <c r="AI37" s="123">
        <f t="shared" si="31"/>
        <v>102316536.23</v>
      </c>
      <c r="AJ37" s="123">
        <f t="shared" si="32"/>
        <v>102316536.23</v>
      </c>
    </row>
    <row r="38" spans="1:36" s="127" customFormat="1" ht="14.25" customHeight="1" outlineLevel="2">
      <c r="A38" s="119">
        <v>524</v>
      </c>
      <c r="B38" s="120" t="s">
        <v>26</v>
      </c>
      <c r="C38" s="120" t="s">
        <v>59</v>
      </c>
      <c r="D38" s="120" t="s">
        <v>60</v>
      </c>
      <c r="E38" s="120" t="s">
        <v>85</v>
      </c>
      <c r="F38" s="120" t="s">
        <v>86</v>
      </c>
      <c r="G38" s="121">
        <v>1.1499999999999999</v>
      </c>
      <c r="H38" s="89"/>
      <c r="I38" s="80">
        <f t="shared" si="33"/>
        <v>1.1499999999999999</v>
      </c>
      <c r="J38" s="122">
        <v>46833</v>
      </c>
      <c r="K38" s="123">
        <f>VLOOKUP($E38,'2.จัดสรรหลังSK'!$E$4:$Y$98,5,FALSE)</f>
        <v>1271.0903642730555</v>
      </c>
      <c r="L38" s="123">
        <f>VLOOKUP($E38,'2.จัดสรรหลังSK'!$E$4:$Y$98,6,FALSE)</f>
        <v>251.01447654431706</v>
      </c>
      <c r="M38" s="124">
        <v>2908.6091000000001</v>
      </c>
      <c r="N38" s="124">
        <v>61.230200000000004</v>
      </c>
      <c r="O38" s="124">
        <v>0</v>
      </c>
      <c r="P38" s="121">
        <f t="shared" si="34"/>
        <v>7042.3751743800949</v>
      </c>
      <c r="Q38" s="121">
        <f>VLOOKUP($E38,'2.จัดสรรหลังSK'!$E$4:$Y$98,11,FALSE)</f>
        <v>59528975.030000001</v>
      </c>
      <c r="R38" s="121">
        <f>VLOOKUP($E38,'2.จัดสรรหลังSK'!$E$4:$Y$98,12,FALSE)</f>
        <v>11755760.98</v>
      </c>
      <c r="S38" s="80">
        <f>IF($H$105&lt;&gt;0,ROUND(ROUND(M38*I38,4)*P38,2),VLOOKUP($E38,'2.จัดสรรหลังSK'!$E$4:$Q$98,13,FALSE))</f>
        <v>23556044.23</v>
      </c>
      <c r="T38" s="121">
        <f>VLOOKUP($E38,'2.จัดสรรหลังSK'!$E$4:$Y$98,14,FALSE)</f>
        <v>587809.92000000004</v>
      </c>
      <c r="U38" s="121">
        <f>VLOOKUP($E38,'2.จัดสรรหลังSK'!$E$4:$Y$98,15,FALSE)</f>
        <v>0</v>
      </c>
      <c r="V38" s="123">
        <f t="shared" si="24"/>
        <v>95428590.160000011</v>
      </c>
      <c r="W38" s="123">
        <v>32482612</v>
      </c>
      <c r="X38" s="121">
        <f t="shared" si="25"/>
        <v>62945978.159999996</v>
      </c>
      <c r="Y38" s="81">
        <v>0</v>
      </c>
      <c r="Z38" s="125">
        <f t="shared" si="26"/>
        <v>62945978.159999996</v>
      </c>
      <c r="AA38" s="123">
        <f>VLOOKUP($E38,'2.จัดสรรหลังSK'!$E$4:$Y$98,21,FALSE)</f>
        <v>58018106.210000001</v>
      </c>
      <c r="AB38" s="9">
        <f t="shared" si="27"/>
        <v>4927871.95</v>
      </c>
      <c r="AC38" s="126" t="str">
        <f t="shared" si="28"/>
        <v>ผ่าน</v>
      </c>
      <c r="AD38" s="128"/>
      <c r="AE38" s="123">
        <f t="shared" si="29"/>
        <v>62945978.159999996</v>
      </c>
      <c r="AF38" s="128"/>
      <c r="AG38" s="128"/>
      <c r="AH38" s="123">
        <f t="shared" si="30"/>
        <v>0</v>
      </c>
      <c r="AI38" s="123">
        <f t="shared" si="31"/>
        <v>62945978.159999996</v>
      </c>
      <c r="AJ38" s="123">
        <f t="shared" si="32"/>
        <v>62945978.159999996</v>
      </c>
    </row>
    <row r="39" spans="1:36" s="127" customFormat="1" ht="14.25" customHeight="1" outlineLevel="2">
      <c r="A39" s="119">
        <v>525</v>
      </c>
      <c r="B39" s="120" t="s">
        <v>26</v>
      </c>
      <c r="C39" s="120" t="s">
        <v>59</v>
      </c>
      <c r="D39" s="120" t="s">
        <v>60</v>
      </c>
      <c r="E39" s="120" t="s">
        <v>87</v>
      </c>
      <c r="F39" s="120" t="s">
        <v>88</v>
      </c>
      <c r="G39" s="121">
        <v>1.1000000000000001</v>
      </c>
      <c r="H39" s="89"/>
      <c r="I39" s="80">
        <f t="shared" si="33"/>
        <v>1.1000000000000001</v>
      </c>
      <c r="J39" s="122">
        <v>88644</v>
      </c>
      <c r="K39" s="123">
        <f>VLOOKUP($E39,'2.จัดสรรหลังSK'!$E$4:$Y$98,5,FALSE)</f>
        <v>1070.4212514101348</v>
      </c>
      <c r="L39" s="123">
        <f>VLOOKUP($E39,'2.จัดสรรหลังSK'!$E$4:$Y$98,6,FALSE)</f>
        <v>211.38641081178648</v>
      </c>
      <c r="M39" s="124">
        <v>5100.3122999999996</v>
      </c>
      <c r="N39" s="124">
        <v>77.556100000000001</v>
      </c>
      <c r="O39" s="124">
        <v>0</v>
      </c>
      <c r="P39" s="121">
        <f t="shared" si="34"/>
        <v>7042.3751743800949</v>
      </c>
      <c r="Q39" s="121">
        <f>VLOOKUP($E39,'2.จัดสรรหลังSK'!$E$4:$Y$98,11,FALSE)</f>
        <v>94886421.409999996</v>
      </c>
      <c r="R39" s="121">
        <f>VLOOKUP($E39,'2.จัดสรรหลังSK'!$E$4:$Y$98,12,FALSE)</f>
        <v>18738137</v>
      </c>
      <c r="S39" s="80">
        <f>IF($H$105&lt;&gt;0,ROUND(ROUND(M39*I39,4)*P39,2),VLOOKUP($E39,'2.จัดสรรหลังSK'!$E$4:$Q$98,13,FALSE))</f>
        <v>39510143.759999998</v>
      </c>
      <c r="T39" s="121">
        <f>VLOOKUP($E39,'2.จัดสรรหลังSK'!$E$4:$Y$98,14,FALSE)</f>
        <v>744538.56</v>
      </c>
      <c r="U39" s="121">
        <f>VLOOKUP($E39,'2.จัดสรรหลังSK'!$E$4:$Y$98,15,FALSE)</f>
        <v>0</v>
      </c>
      <c r="V39" s="123">
        <f t="shared" si="24"/>
        <v>153879240.72999999</v>
      </c>
      <c r="W39" s="123">
        <v>50374021</v>
      </c>
      <c r="X39" s="121">
        <f t="shared" si="25"/>
        <v>103505219.73</v>
      </c>
      <c r="Y39" s="81">
        <v>0</v>
      </c>
      <c r="Z39" s="125">
        <f t="shared" si="26"/>
        <v>103505219.73</v>
      </c>
      <c r="AA39" s="123">
        <f>VLOOKUP($E39,'2.จัดสรรหลังSK'!$E$4:$Y$98,21,FALSE)</f>
        <v>92587241.439999998</v>
      </c>
      <c r="AB39" s="9">
        <f t="shared" si="27"/>
        <v>10917978.289999999</v>
      </c>
      <c r="AC39" s="126" t="str">
        <f t="shared" si="28"/>
        <v>ผ่าน</v>
      </c>
      <c r="AD39" s="128"/>
      <c r="AE39" s="123">
        <f t="shared" si="29"/>
        <v>103505219.73</v>
      </c>
      <c r="AF39" s="128"/>
      <c r="AG39" s="128"/>
      <c r="AH39" s="123">
        <f t="shared" si="30"/>
        <v>0</v>
      </c>
      <c r="AI39" s="123">
        <f t="shared" si="31"/>
        <v>103505219.73</v>
      </c>
      <c r="AJ39" s="123">
        <f t="shared" si="32"/>
        <v>103505219.73</v>
      </c>
    </row>
    <row r="40" spans="1:36" s="127" customFormat="1" ht="14.25" customHeight="1" outlineLevel="2">
      <c r="A40" s="119">
        <v>526</v>
      </c>
      <c r="B40" s="120" t="s">
        <v>26</v>
      </c>
      <c r="C40" s="120" t="s">
        <v>59</v>
      </c>
      <c r="D40" s="120" t="s">
        <v>60</v>
      </c>
      <c r="E40" s="120" t="s">
        <v>89</v>
      </c>
      <c r="F40" s="120" t="s">
        <v>90</v>
      </c>
      <c r="G40" s="121">
        <v>1.3</v>
      </c>
      <c r="H40" s="89"/>
      <c r="I40" s="80">
        <f t="shared" si="33"/>
        <v>1.3</v>
      </c>
      <c r="J40" s="122">
        <v>22384</v>
      </c>
      <c r="K40" s="123">
        <f>VLOOKUP($E40,'2.จัดสรรหลังSK'!$E$4:$Y$98,5,FALSE)</f>
        <v>1488.0644013581129</v>
      </c>
      <c r="L40" s="123">
        <f>VLOOKUP($E40,'2.จัดสรรหลังSK'!$E$4:$Y$98,6,FALSE)</f>
        <v>293.86243254110082</v>
      </c>
      <c r="M40" s="124">
        <v>1282.1799000000001</v>
      </c>
      <c r="N40" s="124">
        <v>8.1761999999999997</v>
      </c>
      <c r="O40" s="124">
        <v>0</v>
      </c>
      <c r="P40" s="121">
        <f t="shared" si="34"/>
        <v>7042.3751743800949</v>
      </c>
      <c r="Q40" s="121">
        <f>VLOOKUP($E40,'2.จัดสรรหลังSK'!$E$4:$Y$98,11,FALSE)</f>
        <v>33308833.559999999</v>
      </c>
      <c r="R40" s="121">
        <f>VLOOKUP($E40,'2.จัดสรรหลังSK'!$E$4:$Y$98,12,FALSE)</f>
        <v>6577816.6900000004</v>
      </c>
      <c r="S40" s="80">
        <f>IF($H$105&lt;&gt;0,ROUND(ROUND(M40*I40,4)*P40,2),VLOOKUP($E40,'2.จัดสรรหลังSK'!$E$4:$Q$98,13,FALSE))</f>
        <v>11738469.67</v>
      </c>
      <c r="T40" s="121">
        <f>VLOOKUP($E40,'2.จัดสรรหลังSK'!$E$4:$Y$98,14,FALSE)</f>
        <v>78491.520000000004</v>
      </c>
      <c r="U40" s="121">
        <f>VLOOKUP($E40,'2.จัดสรรหลังSK'!$E$4:$Y$98,15,FALSE)</f>
        <v>0</v>
      </c>
      <c r="V40" s="123">
        <f t="shared" si="24"/>
        <v>51703611.440000005</v>
      </c>
      <c r="W40" s="123">
        <v>17459872</v>
      </c>
      <c r="X40" s="121">
        <f t="shared" si="25"/>
        <v>34243739.439999998</v>
      </c>
      <c r="Y40" s="81">
        <v>0</v>
      </c>
      <c r="Z40" s="125">
        <f t="shared" si="26"/>
        <v>34243739.439999998</v>
      </c>
      <c r="AA40" s="123">
        <f>VLOOKUP($E40,'2.จัดสรรหลังSK'!$E$4:$Y$98,21,FALSE)</f>
        <v>27397422.260000002</v>
      </c>
      <c r="AB40" s="9">
        <f t="shared" si="27"/>
        <v>6846317.1799999997</v>
      </c>
      <c r="AC40" s="126" t="str">
        <f t="shared" si="28"/>
        <v>ผ่าน</v>
      </c>
      <c r="AD40" s="128"/>
      <c r="AE40" s="123">
        <f t="shared" si="29"/>
        <v>34243739.439999998</v>
      </c>
      <c r="AF40" s="128"/>
      <c r="AG40" s="128"/>
      <c r="AH40" s="123">
        <f t="shared" si="30"/>
        <v>0</v>
      </c>
      <c r="AI40" s="123">
        <f t="shared" si="31"/>
        <v>34243739.439999998</v>
      </c>
      <c r="AJ40" s="123">
        <f t="shared" si="32"/>
        <v>34243739.439999998</v>
      </c>
    </row>
    <row r="41" spans="1:36" s="127" customFormat="1" ht="14.25" customHeight="1" outlineLevel="2">
      <c r="A41" s="119">
        <v>527</v>
      </c>
      <c r="B41" s="120" t="s">
        <v>26</v>
      </c>
      <c r="C41" s="120" t="s">
        <v>59</v>
      </c>
      <c r="D41" s="120" t="s">
        <v>60</v>
      </c>
      <c r="E41" s="120" t="s">
        <v>91</v>
      </c>
      <c r="F41" s="120" t="s">
        <v>92</v>
      </c>
      <c r="G41" s="121">
        <v>1.3</v>
      </c>
      <c r="H41" s="89"/>
      <c r="I41" s="80">
        <f t="shared" si="33"/>
        <v>1.3</v>
      </c>
      <c r="J41" s="122">
        <v>21097</v>
      </c>
      <c r="K41" s="123">
        <f>VLOOKUP($E41,'2.จัดสรรหลังSK'!$E$4:$Y$98,5,FALSE)</f>
        <v>1504.6393691046121</v>
      </c>
      <c r="L41" s="123">
        <f>VLOOKUP($E41,'2.จัดสรรหลังSK'!$E$4:$Y$98,6,FALSE)</f>
        <v>297.13565151443333</v>
      </c>
      <c r="M41" s="124">
        <v>1011.5075000000001</v>
      </c>
      <c r="N41" s="124">
        <v>17.324999999999999</v>
      </c>
      <c r="O41" s="124">
        <v>0</v>
      </c>
      <c r="P41" s="121">
        <f t="shared" si="34"/>
        <v>7042.3751743800949</v>
      </c>
      <c r="Q41" s="121">
        <f>VLOOKUP($E41,'2.จัดสรรหลังSK'!$E$4:$Y$98,11,FALSE)</f>
        <v>31743376.77</v>
      </c>
      <c r="R41" s="121">
        <f>VLOOKUP($E41,'2.จัดสรรหลังSK'!$E$4:$Y$98,12,FALSE)</f>
        <v>6268670.8399999999</v>
      </c>
      <c r="S41" s="80">
        <f>IF($H$105&lt;&gt;0,ROUND(ROUND(M41*I41,4)*P41,2),VLOOKUP($E41,'2.จัดสรรหลังSK'!$E$4:$Q$98,13,FALSE))</f>
        <v>9260440.25</v>
      </c>
      <c r="T41" s="121">
        <f>VLOOKUP($E41,'2.จัดสรรหลังSK'!$E$4:$Y$98,14,FALSE)</f>
        <v>166320</v>
      </c>
      <c r="U41" s="121">
        <f>VLOOKUP($E41,'2.จัดสรรหลังSK'!$E$4:$Y$98,15,FALSE)</f>
        <v>0</v>
      </c>
      <c r="V41" s="123">
        <f t="shared" si="24"/>
        <v>47438807.859999999</v>
      </c>
      <c r="W41" s="123">
        <v>22188463</v>
      </c>
      <c r="X41" s="121">
        <f t="shared" si="25"/>
        <v>25250344.859999999</v>
      </c>
      <c r="Y41" s="81">
        <v>0</v>
      </c>
      <c r="Z41" s="125">
        <f t="shared" si="26"/>
        <v>25250344.859999999</v>
      </c>
      <c r="AA41" s="123">
        <f>VLOOKUP($E41,'2.จัดสรรหลังSK'!$E$4:$Y$98,21,FALSE)</f>
        <v>22916882.82</v>
      </c>
      <c r="AB41" s="9">
        <f t="shared" si="27"/>
        <v>2333462.04</v>
      </c>
      <c r="AC41" s="126" t="str">
        <f t="shared" si="28"/>
        <v>ผ่าน</v>
      </c>
      <c r="AD41" s="128"/>
      <c r="AE41" s="123">
        <f t="shared" si="29"/>
        <v>25250344.859999999</v>
      </c>
      <c r="AF41" s="128"/>
      <c r="AG41" s="128"/>
      <c r="AH41" s="123">
        <f t="shared" si="30"/>
        <v>0</v>
      </c>
      <c r="AI41" s="123">
        <f t="shared" si="31"/>
        <v>25250344.859999999</v>
      </c>
      <c r="AJ41" s="123">
        <f t="shared" si="32"/>
        <v>25250344.859999999</v>
      </c>
    </row>
    <row r="42" spans="1:36" s="127" customFormat="1" ht="14.25" customHeight="1" outlineLevel="2">
      <c r="A42" s="119">
        <v>528</v>
      </c>
      <c r="B42" s="120" t="s">
        <v>26</v>
      </c>
      <c r="C42" s="120" t="s">
        <v>59</v>
      </c>
      <c r="D42" s="120" t="s">
        <v>60</v>
      </c>
      <c r="E42" s="120" t="s">
        <v>93</v>
      </c>
      <c r="F42" s="120" t="s">
        <v>94</v>
      </c>
      <c r="G42" s="121">
        <v>1.3</v>
      </c>
      <c r="H42" s="89"/>
      <c r="I42" s="80">
        <f t="shared" si="33"/>
        <v>1.3</v>
      </c>
      <c r="J42" s="122">
        <v>23846</v>
      </c>
      <c r="K42" s="123">
        <f>VLOOKUP($E42,'2.จัดสรรหลังSK'!$E$4:$Y$98,5,FALSE)</f>
        <v>1471.4062551371301</v>
      </c>
      <c r="L42" s="123">
        <f>VLOOKUP($E42,'2.จัดสรรหลังSK'!$E$4:$Y$98,6,FALSE)</f>
        <v>290.57278788895411</v>
      </c>
      <c r="M42" s="124">
        <v>1333.4483</v>
      </c>
      <c r="N42" s="124">
        <v>18.182600000000001</v>
      </c>
      <c r="O42" s="124">
        <v>0</v>
      </c>
      <c r="P42" s="121">
        <f t="shared" si="34"/>
        <v>7042.3751743800949</v>
      </c>
      <c r="Q42" s="121">
        <f>VLOOKUP($E42,'2.จัดสรรหลังSK'!$E$4:$Y$98,11,FALSE)</f>
        <v>35087153.560000002</v>
      </c>
      <c r="R42" s="121">
        <f>VLOOKUP($E42,'2.จัดสรรหลังSK'!$E$4:$Y$98,12,FALSE)</f>
        <v>6928998.7000000002</v>
      </c>
      <c r="S42" s="80">
        <f>IF($H$105&lt;&gt;0,ROUND(ROUND(M42*I42,4)*P42,2),VLOOKUP($E42,'2.จัดสรรหลังSK'!$E$4:$Q$98,13,FALSE))</f>
        <v>12207836.23</v>
      </c>
      <c r="T42" s="121">
        <f>VLOOKUP($E42,'2.จัดสรรหลังSK'!$E$4:$Y$98,14,FALSE)</f>
        <v>174552.95999999999</v>
      </c>
      <c r="U42" s="121">
        <f>VLOOKUP($E42,'2.จัดสรรหลังSK'!$E$4:$Y$98,15,FALSE)</f>
        <v>0</v>
      </c>
      <c r="V42" s="123">
        <f t="shared" si="24"/>
        <v>54398541.45000001</v>
      </c>
      <c r="W42" s="123">
        <v>17124067</v>
      </c>
      <c r="X42" s="121">
        <f t="shared" si="25"/>
        <v>37274474.450000003</v>
      </c>
      <c r="Y42" s="81">
        <v>0</v>
      </c>
      <c r="Z42" s="125">
        <f t="shared" si="26"/>
        <v>37274474.450000003</v>
      </c>
      <c r="AA42" s="123">
        <f>VLOOKUP($E42,'2.จัดสรรหลังSK'!$E$4:$Y$98,21,FALSE)</f>
        <v>30304289.620000001</v>
      </c>
      <c r="AB42" s="9">
        <f t="shared" si="27"/>
        <v>6970184.8300000001</v>
      </c>
      <c r="AC42" s="126" t="str">
        <f t="shared" si="28"/>
        <v>ผ่าน</v>
      </c>
      <c r="AD42" s="128"/>
      <c r="AE42" s="123">
        <f t="shared" si="29"/>
        <v>37274474.450000003</v>
      </c>
      <c r="AF42" s="128"/>
      <c r="AG42" s="128"/>
      <c r="AH42" s="123">
        <f t="shared" si="30"/>
        <v>0</v>
      </c>
      <c r="AI42" s="123">
        <f t="shared" si="31"/>
        <v>37274474.450000003</v>
      </c>
      <c r="AJ42" s="123">
        <f t="shared" si="32"/>
        <v>37274474.450000003</v>
      </c>
    </row>
    <row r="43" spans="1:36" s="127" customFormat="1" ht="14.25" customHeight="1" outlineLevel="2">
      <c r="A43" s="119">
        <v>529</v>
      </c>
      <c r="B43" s="120" t="s">
        <v>26</v>
      </c>
      <c r="C43" s="120" t="s">
        <v>59</v>
      </c>
      <c r="D43" s="120" t="s">
        <v>60</v>
      </c>
      <c r="E43" s="120" t="s">
        <v>95</v>
      </c>
      <c r="F43" s="120" t="s">
        <v>96</v>
      </c>
      <c r="G43" s="121">
        <v>1.35</v>
      </c>
      <c r="H43" s="89"/>
      <c r="I43" s="80">
        <f t="shared" si="33"/>
        <v>1.35</v>
      </c>
      <c r="J43" s="122">
        <v>19462</v>
      </c>
      <c r="K43" s="123">
        <f>VLOOKUP($E43,'2.จัดสรรหลังSK'!$E$4:$Y$98,5,FALSE)</f>
        <v>1524.0540674134211</v>
      </c>
      <c r="L43" s="123">
        <f>VLOOKUP($E43,'2.จัดสรรหลังSK'!$E$4:$Y$98,6,FALSE)</f>
        <v>300.96965933614223</v>
      </c>
      <c r="M43" s="124">
        <v>1482.5989</v>
      </c>
      <c r="N43" s="124">
        <v>23.538900000000002</v>
      </c>
      <c r="O43" s="124">
        <v>0</v>
      </c>
      <c r="P43" s="121">
        <f t="shared" si="34"/>
        <v>7042.3751743800949</v>
      </c>
      <c r="Q43" s="121">
        <f>VLOOKUP($E43,'2.จัดสรรหลังSK'!$E$4:$Y$98,11,FALSE)</f>
        <v>29661140.260000002</v>
      </c>
      <c r="R43" s="121">
        <f>VLOOKUP($E43,'2.จัดสรรหลังSK'!$E$4:$Y$98,12,FALSE)</f>
        <v>5857471.5099999998</v>
      </c>
      <c r="S43" s="80">
        <f>IF($H$105&lt;&gt;0,ROUND(ROUND(M43*I43,4)*P43,2),VLOOKUP($E43,'2.จัดสรรหลังSK'!$E$4:$Q$98,13,FALSE))</f>
        <v>14095373.76</v>
      </c>
      <c r="T43" s="121">
        <f>VLOOKUP($E43,'2.จัดสรรหลังSK'!$E$4:$Y$98,14,FALSE)</f>
        <v>225973.44</v>
      </c>
      <c r="U43" s="121">
        <f>VLOOKUP($E43,'2.จัดสรรหลังSK'!$E$4:$Y$98,15,FALSE)</f>
        <v>0</v>
      </c>
      <c r="V43" s="123">
        <f t="shared" si="24"/>
        <v>49839958.969999999</v>
      </c>
      <c r="W43" s="123">
        <v>19315577</v>
      </c>
      <c r="X43" s="121">
        <f t="shared" si="25"/>
        <v>30524381.969999999</v>
      </c>
      <c r="Y43" s="81">
        <v>0</v>
      </c>
      <c r="Z43" s="125">
        <f t="shared" si="26"/>
        <v>30524381.969999999</v>
      </c>
      <c r="AA43" s="123">
        <f>VLOOKUP($E43,'2.จัดสรรหลังSK'!$E$4:$Y$98,21,FALSE)</f>
        <v>25616749.850000001</v>
      </c>
      <c r="AB43" s="9">
        <f t="shared" si="27"/>
        <v>4907632.12</v>
      </c>
      <c r="AC43" s="126" t="str">
        <f t="shared" si="28"/>
        <v>ผ่าน</v>
      </c>
      <c r="AD43" s="128"/>
      <c r="AE43" s="123">
        <f t="shared" si="29"/>
        <v>30524381.969999999</v>
      </c>
      <c r="AF43" s="128"/>
      <c r="AG43" s="128"/>
      <c r="AH43" s="123">
        <f t="shared" si="30"/>
        <v>0</v>
      </c>
      <c r="AI43" s="123">
        <f t="shared" si="31"/>
        <v>30524381.969999999</v>
      </c>
      <c r="AJ43" s="123">
        <f t="shared" si="32"/>
        <v>30524381.969999999</v>
      </c>
    </row>
    <row r="44" spans="1:36" s="127" customFormat="1" ht="14.25" customHeight="1" outlineLevel="2">
      <c r="A44" s="119">
        <v>530</v>
      </c>
      <c r="B44" s="120" t="s">
        <v>26</v>
      </c>
      <c r="C44" s="120" t="s">
        <v>59</v>
      </c>
      <c r="D44" s="120" t="s">
        <v>60</v>
      </c>
      <c r="E44" s="120" t="s">
        <v>97</v>
      </c>
      <c r="F44" s="120" t="s">
        <v>98</v>
      </c>
      <c r="G44" s="121">
        <v>1.1000000000000001</v>
      </c>
      <c r="H44" s="89"/>
      <c r="I44" s="80">
        <f t="shared" si="33"/>
        <v>1.1000000000000001</v>
      </c>
      <c r="J44" s="122">
        <v>98564</v>
      </c>
      <c r="K44" s="123">
        <f>VLOOKUP($E44,'2.จัดสรรหลังSK'!$E$4:$Y$98,5,FALSE)</f>
        <v>1041.9852767744815</v>
      </c>
      <c r="L44" s="123">
        <f>VLOOKUP($E44,'2.จัดสรรหลังSK'!$E$4:$Y$98,6,FALSE)</f>
        <v>205.77088460289761</v>
      </c>
      <c r="M44" s="124">
        <v>6844.8869000000004</v>
      </c>
      <c r="N44" s="124">
        <v>155.17359999999999</v>
      </c>
      <c r="O44" s="124">
        <v>42.033099999999997</v>
      </c>
      <c r="P44" s="121">
        <f t="shared" si="34"/>
        <v>7042.3751743800949</v>
      </c>
      <c r="Q44" s="121">
        <f>VLOOKUP($E44,'2.จัดสรรหลังSK'!$E$4:$Y$98,11,FALSE)</f>
        <v>102702236.81999999</v>
      </c>
      <c r="R44" s="121">
        <f>VLOOKUP($E44,'2.จัดสรรหลังSK'!$E$4:$Y$98,12,FALSE)</f>
        <v>20281601.469999999</v>
      </c>
      <c r="S44" s="80">
        <f>IF($H$105&lt;&gt;0,ROUND(ROUND(M44*I44,4)*P44,2),VLOOKUP($E44,'2.จัดสรรหลังSK'!$E$4:$Q$98,13,FALSE))</f>
        <v>53024687.780000001</v>
      </c>
      <c r="T44" s="121">
        <f>VLOOKUP($E44,'2.จัดสรรหลังSK'!$E$4:$Y$98,14,FALSE)</f>
        <v>1489666.56</v>
      </c>
      <c r="U44" s="121">
        <f>VLOOKUP($E44,'2.จัดสรรหลังSK'!$E$4:$Y$98,15,FALSE)</f>
        <v>378297.9</v>
      </c>
      <c r="V44" s="123">
        <f t="shared" si="24"/>
        <v>177876490.53</v>
      </c>
      <c r="W44" s="123">
        <v>59770968</v>
      </c>
      <c r="X44" s="121">
        <f t="shared" si="25"/>
        <v>118105522.53</v>
      </c>
      <c r="Y44" s="81">
        <v>0</v>
      </c>
      <c r="Z44" s="125">
        <f t="shared" si="26"/>
        <v>118105522.53</v>
      </c>
      <c r="AA44" s="123">
        <f>VLOOKUP($E44,'2.จัดสรรหลังSK'!$E$4:$Y$98,21,FALSE)</f>
        <v>115699650.34999999</v>
      </c>
      <c r="AB44" s="9">
        <f t="shared" si="27"/>
        <v>2405872.1800000002</v>
      </c>
      <c r="AC44" s="126" t="str">
        <f t="shared" si="28"/>
        <v>ผ่าน</v>
      </c>
      <c r="AD44" s="128"/>
      <c r="AE44" s="123">
        <f t="shared" si="29"/>
        <v>118105522.53</v>
      </c>
      <c r="AF44" s="128"/>
      <c r="AG44" s="128"/>
      <c r="AH44" s="123">
        <f t="shared" si="30"/>
        <v>0</v>
      </c>
      <c r="AI44" s="123">
        <f t="shared" si="31"/>
        <v>118105522.53</v>
      </c>
      <c r="AJ44" s="123">
        <f t="shared" si="32"/>
        <v>118105522.53</v>
      </c>
    </row>
    <row r="45" spans="1:36" s="127" customFormat="1" ht="14.25" customHeight="1" outlineLevel="2">
      <c r="A45" s="119">
        <v>531</v>
      </c>
      <c r="B45" s="120" t="s">
        <v>26</v>
      </c>
      <c r="C45" s="120" t="s">
        <v>59</v>
      </c>
      <c r="D45" s="120" t="s">
        <v>60</v>
      </c>
      <c r="E45" s="120" t="s">
        <v>99</v>
      </c>
      <c r="F45" s="120" t="s">
        <v>100</v>
      </c>
      <c r="G45" s="121">
        <v>1.35</v>
      </c>
      <c r="H45" s="89"/>
      <c r="I45" s="80">
        <f t="shared" si="33"/>
        <v>1.35</v>
      </c>
      <c r="J45" s="122">
        <v>18224</v>
      </c>
      <c r="K45" s="123">
        <f>VLOOKUP($E45,'2.จัดสรรหลังSK'!$E$4:$Y$98,5,FALSE)</f>
        <v>1533.152052787533</v>
      </c>
      <c r="L45" s="123">
        <f>VLOOKUP($E45,'2.จัดสรรหลังSK'!$E$4:$Y$98,6,FALSE)</f>
        <v>302.76632627304656</v>
      </c>
      <c r="M45" s="124">
        <v>940.37959999999998</v>
      </c>
      <c r="N45" s="124">
        <v>8.8940999999999999</v>
      </c>
      <c r="O45" s="124">
        <v>0</v>
      </c>
      <c r="P45" s="121">
        <f t="shared" si="34"/>
        <v>7042.3751743800949</v>
      </c>
      <c r="Q45" s="121">
        <f>VLOOKUP($E45,'2.จัดสรรหลังSK'!$E$4:$Y$98,11,FALSE)</f>
        <v>27940163.010000002</v>
      </c>
      <c r="R45" s="121">
        <f>VLOOKUP($E45,'2.จัดสรรหลังSK'!$E$4:$Y$98,12,FALSE)</f>
        <v>5517613.5300000003</v>
      </c>
      <c r="S45" s="80">
        <f>IF($H$105&lt;&gt;0,ROUND(ROUND(M45*I45,4)*P45,2),VLOOKUP($E45,'2.จัดสรรหลังSK'!$E$4:$Q$98,13,FALSE))</f>
        <v>8940383.3100000005</v>
      </c>
      <c r="T45" s="121">
        <f>VLOOKUP($E45,'2.จัดสรรหลังSK'!$E$4:$Y$98,14,FALSE)</f>
        <v>85383.360000000001</v>
      </c>
      <c r="U45" s="121">
        <f>VLOOKUP($E45,'2.จัดสรรหลังSK'!$E$4:$Y$98,15,FALSE)</f>
        <v>0</v>
      </c>
      <c r="V45" s="123">
        <f t="shared" si="24"/>
        <v>42483543.210000001</v>
      </c>
      <c r="W45" s="123">
        <v>12889643</v>
      </c>
      <c r="X45" s="121">
        <f t="shared" si="25"/>
        <v>29593900.210000001</v>
      </c>
      <c r="Y45" s="81">
        <v>0</v>
      </c>
      <c r="Z45" s="125">
        <f t="shared" si="26"/>
        <v>29593900.210000001</v>
      </c>
      <c r="AA45" s="123">
        <f>VLOOKUP($E45,'2.จัดสรรหลังSK'!$E$4:$Y$98,21,FALSE)</f>
        <v>23670246.789999999</v>
      </c>
      <c r="AB45" s="9">
        <f t="shared" si="27"/>
        <v>5923653.4199999999</v>
      </c>
      <c r="AC45" s="126" t="str">
        <f t="shared" si="28"/>
        <v>ผ่าน</v>
      </c>
      <c r="AD45" s="128"/>
      <c r="AE45" s="123">
        <f t="shared" si="29"/>
        <v>29593900.210000001</v>
      </c>
      <c r="AF45" s="128"/>
      <c r="AG45" s="128"/>
      <c r="AH45" s="123">
        <f t="shared" si="30"/>
        <v>0</v>
      </c>
      <c r="AI45" s="123">
        <f t="shared" si="31"/>
        <v>29593900.210000001</v>
      </c>
      <c r="AJ45" s="123">
        <f t="shared" si="32"/>
        <v>29593900.210000001</v>
      </c>
    </row>
    <row r="46" spans="1:36" s="127" customFormat="1" ht="14.25" customHeight="1" outlineLevel="2">
      <c r="A46" s="119">
        <v>532</v>
      </c>
      <c r="B46" s="120" t="s">
        <v>26</v>
      </c>
      <c r="C46" s="120" t="s">
        <v>59</v>
      </c>
      <c r="D46" s="120" t="s">
        <v>60</v>
      </c>
      <c r="E46" s="120" t="s">
        <v>101</v>
      </c>
      <c r="F46" s="120" t="s">
        <v>102</v>
      </c>
      <c r="G46" s="121">
        <v>1.35</v>
      </c>
      <c r="H46" s="89"/>
      <c r="I46" s="80">
        <f t="shared" si="33"/>
        <v>1.35</v>
      </c>
      <c r="J46" s="122">
        <v>19204</v>
      </c>
      <c r="K46" s="123">
        <f>VLOOKUP($E46,'2.จัดสรรหลังSK'!$E$4:$Y$98,5,FALSE)</f>
        <v>1525.853337325557</v>
      </c>
      <c r="L46" s="123">
        <f>VLOOKUP($E46,'2.จัดสรรหลังSK'!$E$4:$Y$98,6,FALSE)</f>
        <v>301.32497812955631</v>
      </c>
      <c r="M46" s="124">
        <v>727.15110000000004</v>
      </c>
      <c r="N46" s="124">
        <v>17.854199999999999</v>
      </c>
      <c r="O46" s="124">
        <v>0</v>
      </c>
      <c r="P46" s="121">
        <f t="shared" si="34"/>
        <v>7042.3751743800949</v>
      </c>
      <c r="Q46" s="121">
        <f>VLOOKUP($E46,'2.จัดสรรหลังSK'!$E$4:$Y$98,11,FALSE)</f>
        <v>29302487.489999998</v>
      </c>
      <c r="R46" s="121">
        <f>VLOOKUP($E46,'2.จัดสรรหลังSK'!$E$4:$Y$98,12,FALSE)</f>
        <v>5786644.8799999999</v>
      </c>
      <c r="S46" s="80">
        <f>IF($H$105&lt;&gt;0,ROUND(ROUND(M46*I46,4)*P46,2),VLOOKUP($E46,'2.จัดสรรหลังSK'!$E$4:$Q$98,13,FALSE))</f>
        <v>6913175.7599999998</v>
      </c>
      <c r="T46" s="121">
        <f>VLOOKUP($E46,'2.จัดสรรหลังSK'!$E$4:$Y$98,14,FALSE)</f>
        <v>171400.32000000001</v>
      </c>
      <c r="U46" s="121">
        <f>VLOOKUP($E46,'2.จัดสรรหลังSK'!$E$4:$Y$98,15,FALSE)</f>
        <v>0</v>
      </c>
      <c r="V46" s="123">
        <f t="shared" si="24"/>
        <v>42173708.449999996</v>
      </c>
      <c r="W46" s="123">
        <v>14154954</v>
      </c>
      <c r="X46" s="121">
        <f t="shared" si="25"/>
        <v>28018754.449999999</v>
      </c>
      <c r="Y46" s="81">
        <v>0</v>
      </c>
      <c r="Z46" s="125">
        <f t="shared" si="26"/>
        <v>28018754.449999999</v>
      </c>
      <c r="AA46" s="123">
        <f>VLOOKUP($E46,'2.จัดสรรหลังSK'!$E$4:$Y$98,21,FALSE)</f>
        <v>22235059.690000001</v>
      </c>
      <c r="AB46" s="9">
        <f t="shared" si="27"/>
        <v>5783694.7599999998</v>
      </c>
      <c r="AC46" s="126" t="str">
        <f t="shared" si="28"/>
        <v>ผ่าน</v>
      </c>
      <c r="AD46" s="128"/>
      <c r="AE46" s="123">
        <f t="shared" si="29"/>
        <v>28018754.449999999</v>
      </c>
      <c r="AF46" s="128"/>
      <c r="AG46" s="128"/>
      <c r="AH46" s="123">
        <f t="shared" si="30"/>
        <v>0</v>
      </c>
      <c r="AI46" s="123">
        <f t="shared" si="31"/>
        <v>28018754.449999999</v>
      </c>
      <c r="AJ46" s="123">
        <f t="shared" si="32"/>
        <v>28018754.449999999</v>
      </c>
    </row>
    <row r="47" spans="1:36" s="127" customFormat="1" ht="14.25" customHeight="1" outlineLevel="1">
      <c r="A47" s="180"/>
      <c r="B47" s="181"/>
      <c r="C47" s="155"/>
      <c r="D47" s="182" t="s">
        <v>281</v>
      </c>
      <c r="E47" s="181"/>
      <c r="F47" s="181"/>
      <c r="G47" s="183"/>
      <c r="H47" s="184"/>
      <c r="I47" s="185"/>
      <c r="J47" s="186">
        <f>SUBTOTAL(9,J26:J46)</f>
        <v>1159291</v>
      </c>
      <c r="K47" s="187"/>
      <c r="L47" s="187"/>
      <c r="M47" s="188">
        <f t="shared" ref="M47:AB47" si="35">SUBTOTAL(9,M26:M46)</f>
        <v>179445.75459999999</v>
      </c>
      <c r="N47" s="188">
        <f t="shared" si="35"/>
        <v>3970.0702000000001</v>
      </c>
      <c r="O47" s="188">
        <f t="shared" si="35"/>
        <v>3089.0718000000002</v>
      </c>
      <c r="P47" s="183"/>
      <c r="Q47" s="183">
        <f t="shared" si="35"/>
        <v>1313067893.1999998</v>
      </c>
      <c r="R47" s="183">
        <f t="shared" si="35"/>
        <v>259304183.94999996</v>
      </c>
      <c r="S47" s="185">
        <f t="shared" si="35"/>
        <v>1334850755.99</v>
      </c>
      <c r="T47" s="183">
        <f t="shared" si="35"/>
        <v>38112673.920000009</v>
      </c>
      <c r="U47" s="183">
        <f t="shared" si="35"/>
        <v>27801646.199999999</v>
      </c>
      <c r="V47" s="187">
        <f t="shared" si="35"/>
        <v>2973137153.2599998</v>
      </c>
      <c r="W47" s="187">
        <f t="shared" si="35"/>
        <v>1195938268</v>
      </c>
      <c r="X47" s="183">
        <f t="shared" si="35"/>
        <v>1777198885.2600002</v>
      </c>
      <c r="Y47" s="183">
        <f t="shared" si="35"/>
        <v>9413153.4600000009</v>
      </c>
      <c r="Z47" s="189">
        <f t="shared" si="35"/>
        <v>1786612038.7200003</v>
      </c>
      <c r="AA47" s="187">
        <f t="shared" si="35"/>
        <v>1618537065.3099997</v>
      </c>
      <c r="AB47" s="190">
        <f t="shared" si="35"/>
        <v>168074973.41</v>
      </c>
      <c r="AC47" s="191"/>
      <c r="AD47" s="192">
        <f t="shared" ref="AD47:AJ47" si="36">SUBTOTAL(9,AD26:AD46)</f>
        <v>0</v>
      </c>
      <c r="AE47" s="187">
        <f t="shared" si="36"/>
        <v>1786612038.7200003</v>
      </c>
      <c r="AF47" s="192">
        <f t="shared" si="36"/>
        <v>0</v>
      </c>
      <c r="AG47" s="192">
        <f t="shared" si="36"/>
        <v>0</v>
      </c>
      <c r="AH47" s="187">
        <f t="shared" si="36"/>
        <v>0</v>
      </c>
      <c r="AI47" s="187">
        <f t="shared" si="36"/>
        <v>1786612038.7200003</v>
      </c>
      <c r="AJ47" s="187">
        <f t="shared" si="36"/>
        <v>1786612038.7200003</v>
      </c>
    </row>
    <row r="48" spans="1:36" s="127" customFormat="1" ht="14.25" customHeight="1" outlineLevel="2">
      <c r="A48" s="156">
        <v>533</v>
      </c>
      <c r="B48" s="157" t="s">
        <v>26</v>
      </c>
      <c r="C48" s="120" t="s">
        <v>103</v>
      </c>
      <c r="D48" s="157" t="s">
        <v>104</v>
      </c>
      <c r="E48" s="157" t="s">
        <v>105</v>
      </c>
      <c r="F48" s="157" t="s">
        <v>106</v>
      </c>
      <c r="G48" s="158">
        <v>1.1000000000000001</v>
      </c>
      <c r="H48" s="159"/>
      <c r="I48" s="160">
        <f t="shared" si="33"/>
        <v>1.1000000000000001</v>
      </c>
      <c r="J48" s="161">
        <v>92905</v>
      </c>
      <c r="K48" s="162">
        <f>VLOOKUP($E48,'2.จัดสรรหลังSK'!$E$4:$Y$98,5,FALSE)</f>
        <v>1092.2474006781122</v>
      </c>
      <c r="L48" s="162">
        <f>VLOOKUP($E48,'2.จัดสรรหลังSK'!$E$4:$Y$98,6,FALSE)</f>
        <v>210.12640159302512</v>
      </c>
      <c r="M48" s="163">
        <v>40982.7598</v>
      </c>
      <c r="N48" s="163">
        <v>940.09939999999995</v>
      </c>
      <c r="O48" s="163">
        <v>3496.7195999999999</v>
      </c>
      <c r="P48" s="158">
        <f t="shared" si="34"/>
        <v>7042.3751743800949</v>
      </c>
      <c r="Q48" s="158">
        <f>VLOOKUP($E48,'2.จัดสรรหลังSK'!$E$4:$Y$98,11,FALSE)</f>
        <v>101475244.76000001</v>
      </c>
      <c r="R48" s="158">
        <f>VLOOKUP($E48,'2.จัดสรรหลังSK'!$E$4:$Y$98,12,FALSE)</f>
        <v>19521793.34</v>
      </c>
      <c r="S48" s="160">
        <f>IF($H$105&lt;&gt;0,ROUND(ROUND(M48*I48,4)*P48,2),VLOOKUP($E48,'2.จัดสรรหลังSK'!$E$4:$Q$98,13,FALSE))</f>
        <v>317477567.18000001</v>
      </c>
      <c r="T48" s="158">
        <f>VLOOKUP($E48,'2.จัดสรรหลังSK'!$E$4:$Y$98,14,FALSE)</f>
        <v>9024954.2400000002</v>
      </c>
      <c r="U48" s="158">
        <f>VLOOKUP($E48,'2.จัดสรรหลังSK'!$E$4:$Y$98,15,FALSE)</f>
        <v>31470476.399999999</v>
      </c>
      <c r="V48" s="162">
        <f t="shared" ref="V48:V61" si="37">SUM(Q48:U48)</f>
        <v>478970035.92000002</v>
      </c>
      <c r="W48" s="162">
        <v>226933961</v>
      </c>
      <c r="X48" s="158">
        <f t="shared" ref="X48:X61" si="38">ROUND(V48-W48,2)</f>
        <v>252036074.91999999</v>
      </c>
      <c r="Y48" s="164">
        <v>3097094.05</v>
      </c>
      <c r="Z48" s="165">
        <f t="shared" ref="Z48:Z61" si="39">ROUND(X48+Y48,2)</f>
        <v>255133168.97</v>
      </c>
      <c r="AA48" s="162">
        <f>VLOOKUP($E48,'2.จัดสรรหลังSK'!$E$4:$Y$98,21,FALSE)</f>
        <v>255133168.97</v>
      </c>
      <c r="AB48" s="166">
        <f t="shared" ref="AB48:AB61" si="40">ROUND(Z48-AA48,2)</f>
        <v>0</v>
      </c>
      <c r="AC48" s="167" t="str">
        <f t="shared" ref="AC48:AC61" si="41">IF(Z48&gt;=AA48,"ผ่าน","ไม่ผ่าน")</f>
        <v>ผ่าน</v>
      </c>
      <c r="AD48" s="168"/>
      <c r="AE48" s="162">
        <f t="shared" ref="AE48:AE61" si="42">ROUND(Z48+AD48,2)</f>
        <v>255133168.97</v>
      </c>
      <c r="AF48" s="168"/>
      <c r="AG48" s="168"/>
      <c r="AH48" s="162">
        <f t="shared" ref="AH48:AH61" si="43">ROUND(AF48+AG48,2)</f>
        <v>0</v>
      </c>
      <c r="AI48" s="162">
        <f t="shared" ref="AI48:AI61" si="44">ROUND(Z48-AH48,2)</f>
        <v>255133168.97</v>
      </c>
      <c r="AJ48" s="162">
        <f t="shared" ref="AJ48:AJ61" si="45">ROUND(AE48-AH48,2)</f>
        <v>255133168.97</v>
      </c>
    </row>
    <row r="49" spans="1:36" s="127" customFormat="1" ht="14.25" customHeight="1" outlineLevel="2">
      <c r="A49" s="119">
        <v>534</v>
      </c>
      <c r="B49" s="120" t="s">
        <v>26</v>
      </c>
      <c r="C49" s="120" t="s">
        <v>103</v>
      </c>
      <c r="D49" s="120" t="s">
        <v>104</v>
      </c>
      <c r="E49" s="120" t="s">
        <v>107</v>
      </c>
      <c r="F49" s="120" t="s">
        <v>108</v>
      </c>
      <c r="G49" s="121">
        <v>1.3</v>
      </c>
      <c r="H49" s="89"/>
      <c r="I49" s="80">
        <f t="shared" si="33"/>
        <v>1.3</v>
      </c>
      <c r="J49" s="122">
        <v>21409</v>
      </c>
      <c r="K49" s="123">
        <f>VLOOKUP($E49,'2.จัดสรรหลังSK'!$E$4:$Y$98,5,FALSE)</f>
        <v>1549.2640286795272</v>
      </c>
      <c r="L49" s="123">
        <f>VLOOKUP($E49,'2.จัดสรรหลังSK'!$E$4:$Y$98,6,FALSE)</f>
        <v>298.04719650614226</v>
      </c>
      <c r="M49" s="124">
        <v>1280.3031000000001</v>
      </c>
      <c r="N49" s="124">
        <v>18.897400000000001</v>
      </c>
      <c r="O49" s="124">
        <v>0</v>
      </c>
      <c r="P49" s="121">
        <f t="shared" si="34"/>
        <v>7042.3751743800949</v>
      </c>
      <c r="Q49" s="121">
        <f>VLOOKUP($E49,'2.จัดสรรหลังSK'!$E$4:$Y$98,11,FALSE)</f>
        <v>33168193.59</v>
      </c>
      <c r="R49" s="121">
        <f>VLOOKUP($E49,'2.จัดสรรหลังSK'!$E$4:$Y$98,12,FALSE)</f>
        <v>6380892.4299999997</v>
      </c>
      <c r="S49" s="80">
        <f>IF($H$105&lt;&gt;0,ROUND(ROUND(M49*I49,4)*P49,2),VLOOKUP($E49,'2.จัดสรรหลังSK'!$E$4:$Q$98,13,FALSE))</f>
        <v>11721286.98</v>
      </c>
      <c r="T49" s="121">
        <f>VLOOKUP($E49,'2.จัดสรรหลังSK'!$E$4:$Y$98,14,FALSE)</f>
        <v>181415.04000000001</v>
      </c>
      <c r="U49" s="121">
        <f>VLOOKUP($E49,'2.จัดสรรหลังSK'!$E$4:$Y$98,15,FALSE)</f>
        <v>0</v>
      </c>
      <c r="V49" s="123">
        <f t="shared" si="37"/>
        <v>51451788.039999999</v>
      </c>
      <c r="W49" s="123">
        <v>17741677</v>
      </c>
      <c r="X49" s="121">
        <f t="shared" si="38"/>
        <v>33710111.039999999</v>
      </c>
      <c r="Y49" s="81">
        <v>0</v>
      </c>
      <c r="Z49" s="125">
        <f t="shared" si="39"/>
        <v>33710111.039999999</v>
      </c>
      <c r="AA49" s="123">
        <f>VLOOKUP($E49,'2.จัดสรรหลังSK'!$E$4:$Y$98,21,FALSE)</f>
        <v>27766981.989999998</v>
      </c>
      <c r="AB49" s="9">
        <f t="shared" si="40"/>
        <v>5943129.0499999998</v>
      </c>
      <c r="AC49" s="126" t="str">
        <f t="shared" si="41"/>
        <v>ผ่าน</v>
      </c>
      <c r="AD49" s="128"/>
      <c r="AE49" s="123">
        <f t="shared" si="42"/>
        <v>33710111.039999999</v>
      </c>
      <c r="AF49" s="128"/>
      <c r="AG49" s="128"/>
      <c r="AH49" s="123">
        <f t="shared" si="43"/>
        <v>0</v>
      </c>
      <c r="AI49" s="123">
        <f t="shared" si="44"/>
        <v>33710111.039999999</v>
      </c>
      <c r="AJ49" s="123">
        <f t="shared" si="45"/>
        <v>33710111.039999999</v>
      </c>
    </row>
    <row r="50" spans="1:36" s="127" customFormat="1" ht="14.25" customHeight="1" outlineLevel="2">
      <c r="A50" s="119">
        <v>535</v>
      </c>
      <c r="B50" s="120" t="s">
        <v>26</v>
      </c>
      <c r="C50" s="120" t="s">
        <v>103</v>
      </c>
      <c r="D50" s="120" t="s">
        <v>104</v>
      </c>
      <c r="E50" s="120" t="s">
        <v>109</v>
      </c>
      <c r="F50" s="120" t="s">
        <v>110</v>
      </c>
      <c r="G50" s="121">
        <v>1.2</v>
      </c>
      <c r="H50" s="89"/>
      <c r="I50" s="80">
        <f t="shared" si="33"/>
        <v>1.2</v>
      </c>
      <c r="J50" s="122">
        <v>47161</v>
      </c>
      <c r="K50" s="123">
        <f>VLOOKUP($E50,'2.จัดสรรหลังSK'!$E$4:$Y$98,5,FALSE)</f>
        <v>1310.1881749750853</v>
      </c>
      <c r="L50" s="123">
        <f>VLOOKUP($E50,'2.จัดสรรหลังSK'!$E$4:$Y$98,6,FALSE)</f>
        <v>252.05381713704119</v>
      </c>
      <c r="M50" s="124">
        <v>2564.0414000000001</v>
      </c>
      <c r="N50" s="124">
        <v>32.728200000000001</v>
      </c>
      <c r="O50" s="124">
        <v>0</v>
      </c>
      <c r="P50" s="121">
        <f t="shared" si="34"/>
        <v>7042.3751743800949</v>
      </c>
      <c r="Q50" s="121">
        <f>VLOOKUP($E50,'2.จัดสรรหลังSK'!$E$4:$Y$98,11,FALSE)</f>
        <v>61789784.520000003</v>
      </c>
      <c r="R50" s="121">
        <f>VLOOKUP($E50,'2.จัดสรรหลังSK'!$E$4:$Y$98,12,FALSE)</f>
        <v>11887110.07</v>
      </c>
      <c r="S50" s="80">
        <f>IF($H$105&lt;&gt;0,ROUND(ROUND(M50*I50,4)*P50,2),VLOOKUP($E50,'2.จัดสรรหลังSK'!$E$4:$Q$98,13,FALSE))</f>
        <v>21668329.93</v>
      </c>
      <c r="T50" s="121">
        <f>VLOOKUP($E50,'2.จัดสรรหลังSK'!$E$4:$Y$98,14,FALSE)</f>
        <v>314190.71999999997</v>
      </c>
      <c r="U50" s="121">
        <f>VLOOKUP($E50,'2.จัดสรรหลังSK'!$E$4:$Y$98,15,FALSE)</f>
        <v>0</v>
      </c>
      <c r="V50" s="123">
        <f t="shared" si="37"/>
        <v>95659415.24000001</v>
      </c>
      <c r="W50" s="123">
        <v>39004774</v>
      </c>
      <c r="X50" s="121">
        <f t="shared" si="38"/>
        <v>56654641.240000002</v>
      </c>
      <c r="Y50" s="81">
        <v>1997948.93</v>
      </c>
      <c r="Z50" s="125">
        <f t="shared" si="39"/>
        <v>58652590.170000002</v>
      </c>
      <c r="AA50" s="123">
        <f>VLOOKUP($E50,'2.จัดสรรหลังSK'!$E$4:$Y$98,21,FALSE)</f>
        <v>58652590.170000002</v>
      </c>
      <c r="AB50" s="9">
        <f t="shared" si="40"/>
        <v>0</v>
      </c>
      <c r="AC50" s="126" t="str">
        <f t="shared" si="41"/>
        <v>ผ่าน</v>
      </c>
      <c r="AD50" s="128"/>
      <c r="AE50" s="123">
        <f t="shared" si="42"/>
        <v>58652590.170000002</v>
      </c>
      <c r="AF50" s="128"/>
      <c r="AG50" s="128"/>
      <c r="AH50" s="123">
        <f t="shared" si="43"/>
        <v>0</v>
      </c>
      <c r="AI50" s="123">
        <f t="shared" si="44"/>
        <v>58652590.170000002</v>
      </c>
      <c r="AJ50" s="123">
        <f t="shared" si="45"/>
        <v>58652590.170000002</v>
      </c>
    </row>
    <row r="51" spans="1:36" s="127" customFormat="1" ht="14.25" customHeight="1" outlineLevel="2">
      <c r="A51" s="119">
        <v>536</v>
      </c>
      <c r="B51" s="120" t="s">
        <v>26</v>
      </c>
      <c r="C51" s="120" t="s">
        <v>103</v>
      </c>
      <c r="D51" s="120" t="s">
        <v>104</v>
      </c>
      <c r="E51" s="120" t="s">
        <v>111</v>
      </c>
      <c r="F51" s="120" t="s">
        <v>112</v>
      </c>
      <c r="G51" s="121">
        <v>1.25</v>
      </c>
      <c r="H51" s="89"/>
      <c r="I51" s="80">
        <f t="shared" si="33"/>
        <v>1.25</v>
      </c>
      <c r="J51" s="122">
        <v>34265</v>
      </c>
      <c r="K51" s="123">
        <f>VLOOKUP($E51,'2.จัดสรรหลังSK'!$E$4:$Y$98,5,FALSE)</f>
        <v>1416.8792152342041</v>
      </c>
      <c r="L51" s="123">
        <f>VLOOKUP($E51,'2.จัดสรรหลังSK'!$E$4:$Y$98,6,FALSE)</f>
        <v>272.57902436888952</v>
      </c>
      <c r="M51" s="124">
        <v>2354.625</v>
      </c>
      <c r="N51" s="124">
        <v>50.146599999999999</v>
      </c>
      <c r="O51" s="124">
        <v>0</v>
      </c>
      <c r="P51" s="121">
        <f t="shared" si="34"/>
        <v>7042.3751743800949</v>
      </c>
      <c r="Q51" s="121">
        <f>VLOOKUP($E51,'2.จัดสรรหลังSK'!$E$4:$Y$98,11,FALSE)</f>
        <v>48549366.310000002</v>
      </c>
      <c r="R51" s="121">
        <f>VLOOKUP($E51,'2.จัดสรรหลังSK'!$E$4:$Y$98,12,FALSE)</f>
        <v>9339920.2699999996</v>
      </c>
      <c r="S51" s="80">
        <f>IF($H$105&lt;&gt;0,ROUND(ROUND(M51*I51,4)*P51,2),VLOOKUP($E51,'2.จัดสรรหลังSK'!$E$4:$Q$98,13,FALSE))</f>
        <v>20727691.149999999</v>
      </c>
      <c r="T51" s="121">
        <f>VLOOKUP($E51,'2.จัดสรรหลังSK'!$E$4:$Y$98,14,FALSE)</f>
        <v>481407.36</v>
      </c>
      <c r="U51" s="121">
        <f>VLOOKUP($E51,'2.จัดสรรหลังSK'!$E$4:$Y$98,15,FALSE)</f>
        <v>0</v>
      </c>
      <c r="V51" s="123">
        <f t="shared" si="37"/>
        <v>79098385.089999989</v>
      </c>
      <c r="W51" s="123">
        <v>22585410</v>
      </c>
      <c r="X51" s="121">
        <f t="shared" si="38"/>
        <v>56512975.090000004</v>
      </c>
      <c r="Y51" s="81">
        <v>0</v>
      </c>
      <c r="Z51" s="125">
        <f t="shared" si="39"/>
        <v>56512975.090000004</v>
      </c>
      <c r="AA51" s="123">
        <f>VLOOKUP($E51,'2.จัดสรรหลังSK'!$E$4:$Y$98,21,FALSE)</f>
        <v>47996250.880000003</v>
      </c>
      <c r="AB51" s="9">
        <f t="shared" si="40"/>
        <v>8516724.2100000009</v>
      </c>
      <c r="AC51" s="126" t="str">
        <f t="shared" si="41"/>
        <v>ผ่าน</v>
      </c>
      <c r="AD51" s="128"/>
      <c r="AE51" s="123">
        <f t="shared" si="42"/>
        <v>56512975.090000004</v>
      </c>
      <c r="AF51" s="128"/>
      <c r="AG51" s="128"/>
      <c r="AH51" s="123">
        <f t="shared" si="43"/>
        <v>0</v>
      </c>
      <c r="AI51" s="123">
        <f t="shared" si="44"/>
        <v>56512975.090000004</v>
      </c>
      <c r="AJ51" s="123">
        <f t="shared" si="45"/>
        <v>56512975.090000004</v>
      </c>
    </row>
    <row r="52" spans="1:36" s="127" customFormat="1" ht="14.25" customHeight="1" outlineLevel="2">
      <c r="A52" s="119">
        <v>537</v>
      </c>
      <c r="B52" s="120" t="s">
        <v>26</v>
      </c>
      <c r="C52" s="120" t="s">
        <v>103</v>
      </c>
      <c r="D52" s="120" t="s">
        <v>104</v>
      </c>
      <c r="E52" s="120" t="s">
        <v>113</v>
      </c>
      <c r="F52" s="120" t="s">
        <v>114</v>
      </c>
      <c r="G52" s="121">
        <v>1.4</v>
      </c>
      <c r="H52" s="89"/>
      <c r="I52" s="80">
        <f t="shared" si="33"/>
        <v>1.4</v>
      </c>
      <c r="J52" s="122">
        <v>8824</v>
      </c>
      <c r="K52" s="123">
        <f>VLOOKUP($E52,'2.จัดสรรหลังSK'!$E$4:$Y$98,5,FALSE)</f>
        <v>1716.4497472801452</v>
      </c>
      <c r="L52" s="123">
        <f>VLOOKUP($E52,'2.จัดสรรหลังSK'!$E$4:$Y$98,6,FALSE)</f>
        <v>330.21036151405258</v>
      </c>
      <c r="M52" s="124">
        <v>580.39110000000005</v>
      </c>
      <c r="N52" s="124">
        <v>16.4788</v>
      </c>
      <c r="O52" s="124">
        <v>0</v>
      </c>
      <c r="P52" s="121">
        <f t="shared" si="34"/>
        <v>7042.3751743800949</v>
      </c>
      <c r="Q52" s="121">
        <f>VLOOKUP($E52,'2.จัดสรรหลังSK'!$E$4:$Y$98,11,FALSE)</f>
        <v>15145952.57</v>
      </c>
      <c r="R52" s="121">
        <f>VLOOKUP($E52,'2.จัดสรรหลังSK'!$E$4:$Y$98,12,FALSE)</f>
        <v>2913776.23</v>
      </c>
      <c r="S52" s="80">
        <f>IF($H$105&lt;&gt;0,ROUND(ROUND(M52*I52,4)*P52,2),VLOOKUP($E52,'2.จัดสรรหลังSK'!$E$4:$Q$98,13,FALSE))</f>
        <v>5722264.3399999999</v>
      </c>
      <c r="T52" s="121">
        <f>VLOOKUP($E52,'2.จัดสรรหลังSK'!$E$4:$Y$98,14,FALSE)</f>
        <v>158196.48000000001</v>
      </c>
      <c r="U52" s="121">
        <f>VLOOKUP($E52,'2.จัดสรรหลังSK'!$E$4:$Y$98,15,FALSE)</f>
        <v>0</v>
      </c>
      <c r="V52" s="123">
        <f t="shared" si="37"/>
        <v>23940189.620000001</v>
      </c>
      <c r="W52" s="123">
        <v>15304611</v>
      </c>
      <c r="X52" s="121">
        <f t="shared" si="38"/>
        <v>8635578.6199999992</v>
      </c>
      <c r="Y52" s="81">
        <v>12276632.779999999</v>
      </c>
      <c r="Z52" s="125">
        <f t="shared" si="39"/>
        <v>20912211.399999999</v>
      </c>
      <c r="AA52" s="123">
        <f>VLOOKUP($E52,'2.จัดสรรหลังSK'!$E$4:$Y$98,21,FALSE)</f>
        <v>20912211.399999999</v>
      </c>
      <c r="AB52" s="9">
        <f t="shared" si="40"/>
        <v>0</v>
      </c>
      <c r="AC52" s="126" t="str">
        <f t="shared" si="41"/>
        <v>ผ่าน</v>
      </c>
      <c r="AD52" s="128"/>
      <c r="AE52" s="123">
        <f t="shared" si="42"/>
        <v>20912211.399999999</v>
      </c>
      <c r="AF52" s="128"/>
      <c r="AG52" s="128"/>
      <c r="AH52" s="123">
        <f t="shared" si="43"/>
        <v>0</v>
      </c>
      <c r="AI52" s="123">
        <f t="shared" si="44"/>
        <v>20912211.399999999</v>
      </c>
      <c r="AJ52" s="123">
        <f t="shared" si="45"/>
        <v>20912211.399999999</v>
      </c>
    </row>
    <row r="53" spans="1:36" s="127" customFormat="1" ht="14.25" customHeight="1" outlineLevel="2">
      <c r="A53" s="119">
        <v>538</v>
      </c>
      <c r="B53" s="120" t="s">
        <v>26</v>
      </c>
      <c r="C53" s="120" t="s">
        <v>103</v>
      </c>
      <c r="D53" s="120" t="s">
        <v>104</v>
      </c>
      <c r="E53" s="120" t="s">
        <v>115</v>
      </c>
      <c r="F53" s="120" t="s">
        <v>116</v>
      </c>
      <c r="G53" s="121">
        <v>1.35</v>
      </c>
      <c r="H53" s="89"/>
      <c r="I53" s="80">
        <f t="shared" si="33"/>
        <v>1.35</v>
      </c>
      <c r="J53" s="122">
        <v>18132</v>
      </c>
      <c r="K53" s="123">
        <f>VLOOKUP($E53,'2.จัดสรรหลังSK'!$E$4:$Y$98,5,FALSE)</f>
        <v>1583.7917328480034</v>
      </c>
      <c r="L53" s="123">
        <f>VLOOKUP($E53,'2.จัดสรรหลังSK'!$E$4:$Y$98,6,FALSE)</f>
        <v>304.68963103904696</v>
      </c>
      <c r="M53" s="124">
        <v>1000.0644</v>
      </c>
      <c r="N53" s="124">
        <v>22.388000000000002</v>
      </c>
      <c r="O53" s="124">
        <v>0</v>
      </c>
      <c r="P53" s="121">
        <f t="shared" si="34"/>
        <v>7042.3751743800949</v>
      </c>
      <c r="Q53" s="121">
        <f>VLOOKUP($E53,'2.จัดสรรหลังSK'!$E$4:$Y$98,11,FALSE)</f>
        <v>28717311.699999999</v>
      </c>
      <c r="R53" s="121">
        <f>VLOOKUP($E53,'2.จัดสรรหลังSK'!$E$4:$Y$98,12,FALSE)</f>
        <v>5524632.3899999997</v>
      </c>
      <c r="S53" s="80">
        <f>IF($H$105&lt;&gt;0,ROUND(ROUND(M53*I53,4)*P53,2),VLOOKUP($E53,'2.จัดสรรหลังSK'!$E$4:$Q$98,13,FALSE))</f>
        <v>9507818.4600000009</v>
      </c>
      <c r="T53" s="121">
        <f>VLOOKUP($E53,'2.จัดสรรหลังSK'!$E$4:$Y$98,14,FALSE)</f>
        <v>214924.79999999999</v>
      </c>
      <c r="U53" s="121">
        <f>VLOOKUP($E53,'2.จัดสรรหลังSK'!$E$4:$Y$98,15,FALSE)</f>
        <v>0</v>
      </c>
      <c r="V53" s="123">
        <f t="shared" si="37"/>
        <v>43964687.349999994</v>
      </c>
      <c r="W53" s="123">
        <v>20355347</v>
      </c>
      <c r="X53" s="121">
        <f t="shared" si="38"/>
        <v>23609340.350000001</v>
      </c>
      <c r="Y53" s="81">
        <v>0</v>
      </c>
      <c r="Z53" s="125">
        <f t="shared" si="39"/>
        <v>23609340.350000001</v>
      </c>
      <c r="AA53" s="123">
        <f>VLOOKUP($E53,'2.จัดสรรหลังSK'!$E$4:$Y$98,21,FALSE)</f>
        <v>22370636.469999999</v>
      </c>
      <c r="AB53" s="9">
        <f t="shared" si="40"/>
        <v>1238703.8799999999</v>
      </c>
      <c r="AC53" s="126" t="str">
        <f t="shared" si="41"/>
        <v>ผ่าน</v>
      </c>
      <c r="AD53" s="128"/>
      <c r="AE53" s="123">
        <f t="shared" si="42"/>
        <v>23609340.350000001</v>
      </c>
      <c r="AF53" s="128"/>
      <c r="AG53" s="128"/>
      <c r="AH53" s="123">
        <f t="shared" si="43"/>
        <v>0</v>
      </c>
      <c r="AI53" s="123">
        <f t="shared" si="44"/>
        <v>23609340.350000001</v>
      </c>
      <c r="AJ53" s="123">
        <f t="shared" si="45"/>
        <v>23609340.350000001</v>
      </c>
    </row>
    <row r="54" spans="1:36" s="127" customFormat="1" ht="14.25" customHeight="1" outlineLevel="2">
      <c r="A54" s="119">
        <v>539</v>
      </c>
      <c r="B54" s="120" t="s">
        <v>26</v>
      </c>
      <c r="C54" s="120" t="s">
        <v>103</v>
      </c>
      <c r="D54" s="120" t="s">
        <v>104</v>
      </c>
      <c r="E54" s="120" t="s">
        <v>117</v>
      </c>
      <c r="F54" s="120" t="s">
        <v>118</v>
      </c>
      <c r="G54" s="121">
        <v>1.3</v>
      </c>
      <c r="H54" s="89"/>
      <c r="I54" s="80">
        <f t="shared" si="33"/>
        <v>1.3</v>
      </c>
      <c r="J54" s="122">
        <v>21233</v>
      </c>
      <c r="K54" s="123">
        <f>VLOOKUP($E54,'2.จัดสรรหลังSK'!$E$4:$Y$98,5,FALSE)</f>
        <v>1551.6953638204682</v>
      </c>
      <c r="L54" s="123">
        <f>VLOOKUP($E54,'2.จัดสรรหลังSK'!$E$4:$Y$98,6,FALSE)</f>
        <v>298.51493618424149</v>
      </c>
      <c r="M54" s="124">
        <v>1445.2726</v>
      </c>
      <c r="N54" s="124">
        <v>20.837199999999999</v>
      </c>
      <c r="O54" s="124">
        <v>3.6461000000000001</v>
      </c>
      <c r="P54" s="121">
        <f t="shared" si="34"/>
        <v>7042.3751743800949</v>
      </c>
      <c r="Q54" s="121">
        <f>VLOOKUP($E54,'2.จัดสรรหลังSK'!$E$4:$Y$98,11,FALSE)</f>
        <v>32947147.66</v>
      </c>
      <c r="R54" s="121">
        <f>VLOOKUP($E54,'2.จัดสรรหลังSK'!$E$4:$Y$98,12,FALSE)</f>
        <v>6338367.6399999997</v>
      </c>
      <c r="S54" s="80">
        <f>IF($H$105&lt;&gt;0,ROUND(ROUND(M54*I54,4)*P54,2),VLOOKUP($E54,'2.จัดสรรหลังSK'!$E$4:$Q$98,13,FALSE))</f>
        <v>13231597.58</v>
      </c>
      <c r="T54" s="121">
        <f>VLOOKUP($E54,'2.จัดสรรหลังSK'!$E$4:$Y$98,14,FALSE)</f>
        <v>200037.12</v>
      </c>
      <c r="U54" s="121">
        <f>VLOOKUP($E54,'2.จัดสรรหลังSK'!$E$4:$Y$98,15,FALSE)</f>
        <v>32814.9</v>
      </c>
      <c r="V54" s="123">
        <f t="shared" si="37"/>
        <v>52749964.899999991</v>
      </c>
      <c r="W54" s="123">
        <v>25034282</v>
      </c>
      <c r="X54" s="121">
        <f t="shared" si="38"/>
        <v>27715682.899999999</v>
      </c>
      <c r="Y54" s="81">
        <v>1094420.1200000001</v>
      </c>
      <c r="Z54" s="125">
        <f t="shared" si="39"/>
        <v>28810103.02</v>
      </c>
      <c r="AA54" s="123">
        <f>VLOOKUP($E54,'2.จัดสรรหลังSK'!$E$4:$Y$98,21,FALSE)</f>
        <v>28810103.02</v>
      </c>
      <c r="AB54" s="9">
        <f t="shared" si="40"/>
        <v>0</v>
      </c>
      <c r="AC54" s="126" t="str">
        <f t="shared" si="41"/>
        <v>ผ่าน</v>
      </c>
      <c r="AD54" s="128"/>
      <c r="AE54" s="123">
        <f t="shared" si="42"/>
        <v>28810103.02</v>
      </c>
      <c r="AF54" s="128"/>
      <c r="AG54" s="128"/>
      <c r="AH54" s="123">
        <f t="shared" si="43"/>
        <v>0</v>
      </c>
      <c r="AI54" s="123">
        <f t="shared" si="44"/>
        <v>28810103.02</v>
      </c>
      <c r="AJ54" s="123">
        <f t="shared" si="45"/>
        <v>28810103.02</v>
      </c>
    </row>
    <row r="55" spans="1:36" s="127" customFormat="1" ht="14.25" customHeight="1" outlineLevel="2">
      <c r="A55" s="119">
        <v>540</v>
      </c>
      <c r="B55" s="120" t="s">
        <v>26</v>
      </c>
      <c r="C55" s="120" t="s">
        <v>103</v>
      </c>
      <c r="D55" s="120" t="s">
        <v>104</v>
      </c>
      <c r="E55" s="120" t="s">
        <v>119</v>
      </c>
      <c r="F55" s="120" t="s">
        <v>120</v>
      </c>
      <c r="G55" s="121">
        <v>1.1000000000000001</v>
      </c>
      <c r="H55" s="89"/>
      <c r="I55" s="80">
        <f t="shared" si="33"/>
        <v>1.1000000000000001</v>
      </c>
      <c r="J55" s="122">
        <v>86991</v>
      </c>
      <c r="K55" s="123">
        <f>VLOOKUP($E55,'2.จัดสรรหลังSK'!$E$4:$Y$98,5,FALSE)</f>
        <v>1110.0615077421803</v>
      </c>
      <c r="L55" s="123">
        <f>VLOOKUP($E55,'2.จัดสรรหลังSK'!$E$4:$Y$98,6,FALSE)</f>
        <v>213.55347691140466</v>
      </c>
      <c r="M55" s="124">
        <v>5484.8693000000003</v>
      </c>
      <c r="N55" s="124">
        <v>83.618700000000004</v>
      </c>
      <c r="O55" s="124">
        <v>3.7113</v>
      </c>
      <c r="P55" s="121">
        <f t="shared" si="34"/>
        <v>7042.3751743800949</v>
      </c>
      <c r="Q55" s="121">
        <f>VLOOKUP($E55,'2.จัดสรรหลังSK'!$E$4:$Y$98,11,FALSE)</f>
        <v>96565360.620000005</v>
      </c>
      <c r="R55" s="121">
        <f>VLOOKUP($E55,'2.จัดสรรหลังSK'!$E$4:$Y$98,12,FALSE)</f>
        <v>18577230.510000002</v>
      </c>
      <c r="S55" s="80">
        <f>IF($H$105&lt;&gt;0,ROUND(ROUND(M55*I55,4)*P55,2),VLOOKUP($E55,'2.จัดสรรหลังSK'!$E$4:$Q$98,13,FALSE))</f>
        <v>42489157.899999999</v>
      </c>
      <c r="T55" s="121">
        <f>VLOOKUP($E55,'2.จัดสรรหลังSK'!$E$4:$Y$98,14,FALSE)</f>
        <v>802739.52</v>
      </c>
      <c r="U55" s="121">
        <f>VLOOKUP($E55,'2.จัดสรรหลังSK'!$E$4:$Y$98,15,FALSE)</f>
        <v>33401.699999999997</v>
      </c>
      <c r="V55" s="123">
        <f t="shared" si="37"/>
        <v>158467890.25</v>
      </c>
      <c r="W55" s="123">
        <v>79095048</v>
      </c>
      <c r="X55" s="121">
        <f t="shared" si="38"/>
        <v>79372842.25</v>
      </c>
      <c r="Y55" s="81">
        <v>0</v>
      </c>
      <c r="Z55" s="125">
        <f t="shared" si="39"/>
        <v>79372842.25</v>
      </c>
      <c r="AA55" s="123">
        <f>VLOOKUP($E55,'2.จัดสรรหลังSK'!$E$4:$Y$98,21,FALSE)</f>
        <v>76273769.379999995</v>
      </c>
      <c r="AB55" s="9">
        <f t="shared" si="40"/>
        <v>3099072.87</v>
      </c>
      <c r="AC55" s="126" t="str">
        <f t="shared" si="41"/>
        <v>ผ่าน</v>
      </c>
      <c r="AD55" s="128"/>
      <c r="AE55" s="123">
        <f t="shared" si="42"/>
        <v>79372842.25</v>
      </c>
      <c r="AF55" s="128"/>
      <c r="AG55" s="128"/>
      <c r="AH55" s="123">
        <f t="shared" si="43"/>
        <v>0</v>
      </c>
      <c r="AI55" s="123">
        <f t="shared" si="44"/>
        <v>79372842.25</v>
      </c>
      <c r="AJ55" s="123">
        <f t="shared" si="45"/>
        <v>79372842.25</v>
      </c>
    </row>
    <row r="56" spans="1:36" s="127" customFormat="1" ht="14.25" customHeight="1" outlineLevel="2">
      <c r="A56" s="119">
        <v>541</v>
      </c>
      <c r="B56" s="120" t="s">
        <v>26</v>
      </c>
      <c r="C56" s="120" t="s">
        <v>103</v>
      </c>
      <c r="D56" s="120" t="s">
        <v>104</v>
      </c>
      <c r="E56" s="120" t="s">
        <v>121</v>
      </c>
      <c r="F56" s="120" t="s">
        <v>122</v>
      </c>
      <c r="G56" s="121">
        <v>1.3</v>
      </c>
      <c r="H56" s="89"/>
      <c r="I56" s="80">
        <f t="shared" si="33"/>
        <v>1.3</v>
      </c>
      <c r="J56" s="122">
        <v>26805</v>
      </c>
      <c r="K56" s="123">
        <f>VLOOKUP($E56,'2.จัดสรรหลังSK'!$E$4:$Y$98,5,FALSE)</f>
        <v>1490.2167871665733</v>
      </c>
      <c r="L56" s="123">
        <f>VLOOKUP($E56,'2.จัดสรรหลังSK'!$E$4:$Y$98,6,FALSE)</f>
        <v>286.68769632531246</v>
      </c>
      <c r="M56" s="124">
        <v>1525.2987000000001</v>
      </c>
      <c r="N56" s="124">
        <v>46.270600000000002</v>
      </c>
      <c r="O56" s="124">
        <v>0</v>
      </c>
      <c r="P56" s="121">
        <f t="shared" si="34"/>
        <v>7042.3751743800949</v>
      </c>
      <c r="Q56" s="121">
        <f>VLOOKUP($E56,'2.จัดสรรหลังSK'!$E$4:$Y$98,11,FALSE)</f>
        <v>39945260.979999997</v>
      </c>
      <c r="R56" s="121">
        <f>VLOOKUP($E56,'2.จัดสรรหลังSK'!$E$4:$Y$98,12,FALSE)</f>
        <v>7684663.7000000002</v>
      </c>
      <c r="S56" s="80">
        <f>IF($H$105&lt;&gt;0,ROUND(ROUND(M56*I56,4)*P56,2),VLOOKUP($E56,'2.จัดสรรหลังSK'!$E$4:$Q$98,13,FALSE))</f>
        <v>13964243.33</v>
      </c>
      <c r="T56" s="121">
        <f>VLOOKUP($E56,'2.จัดสรรหลังSK'!$E$4:$Y$98,14,FALSE)</f>
        <v>444197.76</v>
      </c>
      <c r="U56" s="121">
        <f>VLOOKUP($E56,'2.จัดสรรหลังSK'!$E$4:$Y$98,15,FALSE)</f>
        <v>0</v>
      </c>
      <c r="V56" s="123">
        <f t="shared" si="37"/>
        <v>62038365.769999996</v>
      </c>
      <c r="W56" s="123">
        <v>25405209</v>
      </c>
      <c r="X56" s="121">
        <f t="shared" si="38"/>
        <v>36633156.770000003</v>
      </c>
      <c r="Y56" s="81">
        <v>0</v>
      </c>
      <c r="Z56" s="125">
        <f t="shared" si="39"/>
        <v>36633156.770000003</v>
      </c>
      <c r="AA56" s="123">
        <f>VLOOKUP($E56,'2.จัดสรรหลังSK'!$E$4:$Y$98,21,FALSE)</f>
        <v>30905605.260000002</v>
      </c>
      <c r="AB56" s="9">
        <f t="shared" si="40"/>
        <v>5727551.5099999998</v>
      </c>
      <c r="AC56" s="126" t="str">
        <f t="shared" si="41"/>
        <v>ผ่าน</v>
      </c>
      <c r="AD56" s="128"/>
      <c r="AE56" s="123">
        <f t="shared" si="42"/>
        <v>36633156.770000003</v>
      </c>
      <c r="AF56" s="128"/>
      <c r="AG56" s="128"/>
      <c r="AH56" s="123">
        <f t="shared" si="43"/>
        <v>0</v>
      </c>
      <c r="AI56" s="123">
        <f t="shared" si="44"/>
        <v>36633156.770000003</v>
      </c>
      <c r="AJ56" s="123">
        <f t="shared" si="45"/>
        <v>36633156.770000003</v>
      </c>
    </row>
    <row r="57" spans="1:36" s="127" customFormat="1" ht="14.25" customHeight="1" outlineLevel="2">
      <c r="A57" s="119">
        <v>542</v>
      </c>
      <c r="B57" s="120" t="s">
        <v>26</v>
      </c>
      <c r="C57" s="120" t="s">
        <v>103</v>
      </c>
      <c r="D57" s="120" t="s">
        <v>104</v>
      </c>
      <c r="E57" s="120" t="s">
        <v>123</v>
      </c>
      <c r="F57" s="120" t="s">
        <v>124</v>
      </c>
      <c r="G57" s="121">
        <v>1.3</v>
      </c>
      <c r="H57" s="89"/>
      <c r="I57" s="80">
        <f t="shared" si="33"/>
        <v>1.3</v>
      </c>
      <c r="J57" s="122">
        <v>20120</v>
      </c>
      <c r="K57" s="123">
        <f>VLOOKUP($E57,'2.จัดสรรหลังSK'!$E$4:$Y$98,5,FALSE)</f>
        <v>1568.0558305168986</v>
      </c>
      <c r="L57" s="123">
        <f>VLOOKUP($E57,'2.จัดสรรหลังSK'!$E$4:$Y$98,6,FALSE)</f>
        <v>301.66236033797219</v>
      </c>
      <c r="M57" s="124">
        <v>1602.0282999999999</v>
      </c>
      <c r="N57" s="124">
        <v>18.923400000000001</v>
      </c>
      <c r="O57" s="124">
        <v>0</v>
      </c>
      <c r="P57" s="121">
        <f t="shared" si="34"/>
        <v>7042.3751743800949</v>
      </c>
      <c r="Q57" s="121">
        <f>VLOOKUP($E57,'2.จัดสรรหลังSK'!$E$4:$Y$98,11,FALSE)</f>
        <v>31549283.309999999</v>
      </c>
      <c r="R57" s="121">
        <f>VLOOKUP($E57,'2.จัดสรรหลังSK'!$E$4:$Y$98,12,FALSE)</f>
        <v>6069446.6900000004</v>
      </c>
      <c r="S57" s="80">
        <f>IF($H$105&lt;&gt;0,ROUND(ROUND(M57*I57,4)*P57,2),VLOOKUP($E57,'2.จัดสรรหลังSK'!$E$4:$Q$98,13,FALSE))</f>
        <v>14666709.689999999</v>
      </c>
      <c r="T57" s="121">
        <f>VLOOKUP($E57,'2.จัดสรรหลังSK'!$E$4:$Y$98,14,FALSE)</f>
        <v>181664.64000000001</v>
      </c>
      <c r="U57" s="121">
        <f>VLOOKUP($E57,'2.จัดสรรหลังSK'!$E$4:$Y$98,15,FALSE)</f>
        <v>0</v>
      </c>
      <c r="V57" s="123">
        <f t="shared" si="37"/>
        <v>52467104.329999998</v>
      </c>
      <c r="W57" s="123">
        <v>20300153</v>
      </c>
      <c r="X57" s="121">
        <f t="shared" si="38"/>
        <v>32166951.329999998</v>
      </c>
      <c r="Y57" s="81">
        <v>0</v>
      </c>
      <c r="Z57" s="125">
        <f t="shared" si="39"/>
        <v>32166951.329999998</v>
      </c>
      <c r="AA57" s="123">
        <f>VLOOKUP($E57,'2.จัดสรรหลังSK'!$E$4:$Y$98,21,FALSE)</f>
        <v>29194127.82</v>
      </c>
      <c r="AB57" s="9">
        <f t="shared" si="40"/>
        <v>2972823.51</v>
      </c>
      <c r="AC57" s="126" t="str">
        <f t="shared" si="41"/>
        <v>ผ่าน</v>
      </c>
      <c r="AD57" s="128"/>
      <c r="AE57" s="123">
        <f t="shared" si="42"/>
        <v>32166951.329999998</v>
      </c>
      <c r="AF57" s="128"/>
      <c r="AG57" s="128"/>
      <c r="AH57" s="123">
        <f t="shared" si="43"/>
        <v>0</v>
      </c>
      <c r="AI57" s="123">
        <f t="shared" si="44"/>
        <v>32166951.329999998</v>
      </c>
      <c r="AJ57" s="123">
        <f t="shared" si="45"/>
        <v>32166951.329999998</v>
      </c>
    </row>
    <row r="58" spans="1:36" s="127" customFormat="1" ht="14.25" customHeight="1" outlineLevel="2">
      <c r="A58" s="119">
        <v>543</v>
      </c>
      <c r="B58" s="120" t="s">
        <v>26</v>
      </c>
      <c r="C58" s="120" t="s">
        <v>103</v>
      </c>
      <c r="D58" s="120" t="s">
        <v>104</v>
      </c>
      <c r="E58" s="120" t="s">
        <v>125</v>
      </c>
      <c r="F58" s="120" t="s">
        <v>126</v>
      </c>
      <c r="G58" s="121">
        <v>1.25</v>
      </c>
      <c r="H58" s="89"/>
      <c r="I58" s="80">
        <f t="shared" si="33"/>
        <v>1.25</v>
      </c>
      <c r="J58" s="122">
        <v>32222</v>
      </c>
      <c r="K58" s="123">
        <f>VLOOKUP($E58,'2.จัดสรรหลังSK'!$E$4:$Y$98,5,FALSE)</f>
        <v>1438.4591595804109</v>
      </c>
      <c r="L58" s="123">
        <f>VLOOKUP($E58,'2.จัดสรรหลังSK'!$E$4:$Y$98,6,FALSE)</f>
        <v>276.73057103842098</v>
      </c>
      <c r="M58" s="124">
        <v>1936.6090999999999</v>
      </c>
      <c r="N58" s="124">
        <v>38.115400000000001</v>
      </c>
      <c r="O58" s="124">
        <v>0</v>
      </c>
      <c r="P58" s="121">
        <f t="shared" si="34"/>
        <v>7042.3751743800949</v>
      </c>
      <c r="Q58" s="121">
        <f>VLOOKUP($E58,'2.จัดสรรหลังSK'!$E$4:$Y$98,11,FALSE)</f>
        <v>46350031.039999999</v>
      </c>
      <c r="R58" s="121">
        <f>VLOOKUP($E58,'2.จัดสรรหลังSK'!$E$4:$Y$98,12,FALSE)</f>
        <v>8916812.4600000009</v>
      </c>
      <c r="S58" s="80">
        <f>IF($H$105&lt;&gt;0,ROUND(ROUND(M58*I58,4)*P58,2),VLOOKUP($E58,'2.จัดสรรหลังSK'!$E$4:$Q$98,13,FALSE))</f>
        <v>17047909.98</v>
      </c>
      <c r="T58" s="121">
        <f>VLOOKUP($E58,'2.จัดสรรหลังSK'!$E$4:$Y$98,14,FALSE)</f>
        <v>365907.84</v>
      </c>
      <c r="U58" s="121">
        <f>VLOOKUP($E58,'2.จัดสรรหลังSK'!$E$4:$Y$98,15,FALSE)</f>
        <v>0</v>
      </c>
      <c r="V58" s="123">
        <f t="shared" si="37"/>
        <v>72680661.320000008</v>
      </c>
      <c r="W58" s="123">
        <v>23058058</v>
      </c>
      <c r="X58" s="121">
        <f t="shared" si="38"/>
        <v>49622603.32</v>
      </c>
      <c r="Y58" s="81">
        <v>0</v>
      </c>
      <c r="Z58" s="125">
        <f t="shared" si="39"/>
        <v>49622603.32</v>
      </c>
      <c r="AA58" s="123">
        <f>VLOOKUP($E58,'2.จัดสรรหลังSK'!$E$4:$Y$98,21,FALSE)</f>
        <v>45976899.130000003</v>
      </c>
      <c r="AB58" s="9">
        <f t="shared" si="40"/>
        <v>3645704.19</v>
      </c>
      <c r="AC58" s="126" t="str">
        <f t="shared" si="41"/>
        <v>ผ่าน</v>
      </c>
      <c r="AD58" s="128"/>
      <c r="AE58" s="123">
        <f t="shared" si="42"/>
        <v>49622603.32</v>
      </c>
      <c r="AF58" s="128"/>
      <c r="AG58" s="128"/>
      <c r="AH58" s="123">
        <f t="shared" si="43"/>
        <v>0</v>
      </c>
      <c r="AI58" s="123">
        <f t="shared" si="44"/>
        <v>49622603.32</v>
      </c>
      <c r="AJ58" s="123">
        <f t="shared" si="45"/>
        <v>49622603.32</v>
      </c>
    </row>
    <row r="59" spans="1:36" s="127" customFormat="1" ht="14.25" customHeight="1" outlineLevel="2">
      <c r="A59" s="119">
        <v>544</v>
      </c>
      <c r="B59" s="120" t="s">
        <v>26</v>
      </c>
      <c r="C59" s="120" t="s">
        <v>103</v>
      </c>
      <c r="D59" s="120" t="s">
        <v>104</v>
      </c>
      <c r="E59" s="120" t="s">
        <v>127</v>
      </c>
      <c r="F59" s="120" t="s">
        <v>128</v>
      </c>
      <c r="G59" s="121">
        <v>1.2</v>
      </c>
      <c r="H59" s="89"/>
      <c r="I59" s="80">
        <f t="shared" si="33"/>
        <v>1.2</v>
      </c>
      <c r="J59" s="122">
        <v>41779</v>
      </c>
      <c r="K59" s="123">
        <f>VLOOKUP($E59,'2.จัดสรรหลังSK'!$E$4:$Y$98,5,FALSE)</f>
        <v>1351.8456932908878</v>
      </c>
      <c r="L59" s="123">
        <f>VLOOKUP($E59,'2.จัดสรรหลังSK'!$E$4:$Y$98,6,FALSE)</f>
        <v>260.06788458316379</v>
      </c>
      <c r="M59" s="124">
        <v>2521.5257000000001</v>
      </c>
      <c r="N59" s="124">
        <v>76.670299999999997</v>
      </c>
      <c r="O59" s="124">
        <v>7.5739999999999998</v>
      </c>
      <c r="P59" s="121">
        <f t="shared" si="34"/>
        <v>7042.3751743800949</v>
      </c>
      <c r="Q59" s="121">
        <f>VLOOKUP($E59,'2.จัดสรรหลังSK'!$E$4:$Y$98,11,FALSE)</f>
        <v>56478761.219999999</v>
      </c>
      <c r="R59" s="121">
        <f>VLOOKUP($E59,'2.จัดสรรหลังSK'!$E$4:$Y$98,12,FALSE)</f>
        <v>10865376.15</v>
      </c>
      <c r="S59" s="80">
        <f>IF($H$105&lt;&gt;0,ROUND(ROUND(M59*I59,4)*P59,2),VLOOKUP($E59,'2.จัดสรรหลังSK'!$E$4:$Q$98,13,FALSE))</f>
        <v>21309035.699999999</v>
      </c>
      <c r="T59" s="121">
        <f>VLOOKUP($E59,'2.จัดสรรหลังSK'!$E$4:$Y$98,14,FALSE)</f>
        <v>736034.88</v>
      </c>
      <c r="U59" s="121">
        <f>VLOOKUP($E59,'2.จัดสรรหลังSK'!$E$4:$Y$98,15,FALSE)</f>
        <v>68166</v>
      </c>
      <c r="V59" s="123">
        <f t="shared" si="37"/>
        <v>89457373.950000003</v>
      </c>
      <c r="W59" s="123">
        <v>39061027</v>
      </c>
      <c r="X59" s="121">
        <f t="shared" si="38"/>
        <v>50396346.950000003</v>
      </c>
      <c r="Y59" s="81">
        <v>0</v>
      </c>
      <c r="Z59" s="125">
        <f t="shared" si="39"/>
        <v>50396346.950000003</v>
      </c>
      <c r="AA59" s="123">
        <f>VLOOKUP($E59,'2.จัดสรรหลังSK'!$E$4:$Y$98,21,FALSE)</f>
        <v>47681412.18</v>
      </c>
      <c r="AB59" s="9">
        <f t="shared" si="40"/>
        <v>2714934.77</v>
      </c>
      <c r="AC59" s="126" t="str">
        <f t="shared" si="41"/>
        <v>ผ่าน</v>
      </c>
      <c r="AD59" s="128"/>
      <c r="AE59" s="123">
        <f t="shared" si="42"/>
        <v>50396346.950000003</v>
      </c>
      <c r="AF59" s="128"/>
      <c r="AG59" s="128"/>
      <c r="AH59" s="123">
        <f t="shared" si="43"/>
        <v>0</v>
      </c>
      <c r="AI59" s="123">
        <f t="shared" si="44"/>
        <v>50396346.950000003</v>
      </c>
      <c r="AJ59" s="123">
        <f t="shared" si="45"/>
        <v>50396346.950000003</v>
      </c>
    </row>
    <row r="60" spans="1:36" s="127" customFormat="1" ht="14.25" customHeight="1" outlineLevel="2">
      <c r="A60" s="119">
        <v>545</v>
      </c>
      <c r="B60" s="120" t="s">
        <v>26</v>
      </c>
      <c r="C60" s="120" t="s">
        <v>103</v>
      </c>
      <c r="D60" s="120" t="s">
        <v>104</v>
      </c>
      <c r="E60" s="120" t="s">
        <v>129</v>
      </c>
      <c r="F60" s="120" t="s">
        <v>130</v>
      </c>
      <c r="G60" s="121">
        <v>1.25</v>
      </c>
      <c r="H60" s="89"/>
      <c r="I60" s="80">
        <f t="shared" si="33"/>
        <v>1.25</v>
      </c>
      <c r="J60" s="122">
        <v>31384</v>
      </c>
      <c r="K60" s="123">
        <f>VLOOKUP($E60,'2.จัดสรรหลังSK'!$E$4:$Y$98,5,FALSE)</f>
        <v>1448.1234151159827</v>
      </c>
      <c r="L60" s="123">
        <f>VLOOKUP($E60,'2.จัดสรรหลังSK'!$E$4:$Y$98,6,FALSE)</f>
        <v>278.58977918684684</v>
      </c>
      <c r="M60" s="124">
        <v>1906.1126999999999</v>
      </c>
      <c r="N60" s="124">
        <v>44.612099999999998</v>
      </c>
      <c r="O60" s="124">
        <v>0</v>
      </c>
      <c r="P60" s="121">
        <f t="shared" si="34"/>
        <v>7042.3751743800949</v>
      </c>
      <c r="Q60" s="121">
        <f>VLOOKUP($E60,'2.จัดสรรหลังSK'!$E$4:$Y$98,11,FALSE)</f>
        <v>45447905.259999998</v>
      </c>
      <c r="R60" s="121">
        <f>VLOOKUP($E60,'2.จัดสรรหลังSK'!$E$4:$Y$98,12,FALSE)</f>
        <v>8743261.6300000008</v>
      </c>
      <c r="S60" s="80">
        <f>IF($H$105&lt;&gt;0,ROUND(ROUND(M60*I60,4)*P60,2),VLOOKUP($E60,'2.จัดสรรหลังSK'!$E$4:$Q$98,13,FALSE))</f>
        <v>16779451.109999999</v>
      </c>
      <c r="T60" s="121">
        <f>VLOOKUP($E60,'2.จัดสรรหลังSK'!$E$4:$Y$98,14,FALSE)</f>
        <v>428276.16</v>
      </c>
      <c r="U60" s="121">
        <f>VLOOKUP($E60,'2.จัดสรรหลังSK'!$E$4:$Y$98,15,FALSE)</f>
        <v>0</v>
      </c>
      <c r="V60" s="123">
        <f t="shared" si="37"/>
        <v>71398894.159999996</v>
      </c>
      <c r="W60" s="123">
        <v>23223646</v>
      </c>
      <c r="X60" s="121">
        <f t="shared" si="38"/>
        <v>48175248.159999996</v>
      </c>
      <c r="Y60" s="81">
        <v>0</v>
      </c>
      <c r="Z60" s="125">
        <f t="shared" si="39"/>
        <v>48175248.159999996</v>
      </c>
      <c r="AA60" s="123">
        <f>VLOOKUP($E60,'2.จัดสรรหลังSK'!$E$4:$Y$98,21,FALSE)</f>
        <v>43026297.390000001</v>
      </c>
      <c r="AB60" s="9">
        <f t="shared" si="40"/>
        <v>5148950.7699999996</v>
      </c>
      <c r="AC60" s="126" t="str">
        <f t="shared" si="41"/>
        <v>ผ่าน</v>
      </c>
      <c r="AD60" s="128"/>
      <c r="AE60" s="123">
        <f t="shared" si="42"/>
        <v>48175248.159999996</v>
      </c>
      <c r="AF60" s="128"/>
      <c r="AG60" s="128"/>
      <c r="AH60" s="123">
        <f t="shared" si="43"/>
        <v>0</v>
      </c>
      <c r="AI60" s="123">
        <f t="shared" si="44"/>
        <v>48175248.159999996</v>
      </c>
      <c r="AJ60" s="123">
        <f t="shared" si="45"/>
        <v>48175248.159999996</v>
      </c>
    </row>
    <row r="61" spans="1:36" s="127" customFormat="1" ht="14.25" customHeight="1" outlineLevel="2">
      <c r="A61" s="119">
        <v>546</v>
      </c>
      <c r="B61" s="120" t="s">
        <v>26</v>
      </c>
      <c r="C61" s="120" t="s">
        <v>103</v>
      </c>
      <c r="D61" s="120" t="s">
        <v>104</v>
      </c>
      <c r="E61" s="120" t="s">
        <v>131</v>
      </c>
      <c r="F61" s="120" t="s">
        <v>132</v>
      </c>
      <c r="G61" s="121">
        <v>1.35</v>
      </c>
      <c r="H61" s="89"/>
      <c r="I61" s="80">
        <f t="shared" si="33"/>
        <v>1.35</v>
      </c>
      <c r="J61" s="122">
        <v>19972</v>
      </c>
      <c r="K61" s="123">
        <f>VLOOKUP($E61,'2.จัดสรรหลังSK'!$E$4:$Y$98,5,FALSE)</f>
        <v>1570.1171645303425</v>
      </c>
      <c r="L61" s="123">
        <f>VLOOKUP($E61,'2.จัดสรรหลังSK'!$E$4:$Y$98,6,FALSE)</f>
        <v>302.0589194872822</v>
      </c>
      <c r="M61" s="124">
        <v>1040.8338000000001</v>
      </c>
      <c r="N61" s="124">
        <v>28.459700000000002</v>
      </c>
      <c r="O61" s="124">
        <v>0</v>
      </c>
      <c r="P61" s="121">
        <f t="shared" si="34"/>
        <v>7042.3751743800949</v>
      </c>
      <c r="Q61" s="121">
        <f>VLOOKUP($E61,'2.จัดสรรหลังSK'!$E$4:$Y$98,11,FALSE)</f>
        <v>31358380.010000002</v>
      </c>
      <c r="R61" s="121">
        <f>VLOOKUP($E61,'2.จัดสรรหลังSK'!$E$4:$Y$98,12,FALSE)</f>
        <v>6032720.7400000002</v>
      </c>
      <c r="S61" s="80">
        <f>IF($H$105&lt;&gt;0,ROUND(ROUND(M61*I61,4)*P61,2),VLOOKUP($E61,'2.จัดสรรหลังSK'!$E$4:$Q$98,13,FALSE))</f>
        <v>9895421.6400000006</v>
      </c>
      <c r="T61" s="121">
        <f>VLOOKUP($E61,'2.จัดสรรหลังSK'!$E$4:$Y$98,14,FALSE)</f>
        <v>273213.12</v>
      </c>
      <c r="U61" s="121">
        <f>VLOOKUP($E61,'2.จัดสรรหลังSK'!$E$4:$Y$98,15,FALSE)</f>
        <v>0</v>
      </c>
      <c r="V61" s="123">
        <f t="shared" si="37"/>
        <v>47559735.509999998</v>
      </c>
      <c r="W61" s="123">
        <v>18781169</v>
      </c>
      <c r="X61" s="121">
        <f t="shared" si="38"/>
        <v>28778566.510000002</v>
      </c>
      <c r="Y61" s="81">
        <v>0</v>
      </c>
      <c r="Z61" s="125">
        <f t="shared" si="39"/>
        <v>28778566.510000002</v>
      </c>
      <c r="AA61" s="123">
        <f>VLOOKUP($E61,'2.จัดสรรหลังSK'!$E$4:$Y$98,21,FALSE)</f>
        <v>28762598.969999999</v>
      </c>
      <c r="AB61" s="9">
        <f t="shared" si="40"/>
        <v>15967.54</v>
      </c>
      <c r="AC61" s="126" t="str">
        <f t="shared" si="41"/>
        <v>ผ่าน</v>
      </c>
      <c r="AD61" s="128"/>
      <c r="AE61" s="123">
        <f t="shared" si="42"/>
        <v>28778566.510000002</v>
      </c>
      <c r="AF61" s="128"/>
      <c r="AG61" s="128"/>
      <c r="AH61" s="123">
        <f t="shared" si="43"/>
        <v>0</v>
      </c>
      <c r="AI61" s="123">
        <f t="shared" si="44"/>
        <v>28778566.510000002</v>
      </c>
      <c r="AJ61" s="123">
        <f t="shared" si="45"/>
        <v>28778566.510000002</v>
      </c>
    </row>
    <row r="62" spans="1:36" s="127" customFormat="1" ht="14.25" customHeight="1" outlineLevel="1">
      <c r="A62" s="180"/>
      <c r="B62" s="181"/>
      <c r="C62" s="155"/>
      <c r="D62" s="182" t="s">
        <v>282</v>
      </c>
      <c r="E62" s="181"/>
      <c r="F62" s="181"/>
      <c r="G62" s="183"/>
      <c r="H62" s="184"/>
      <c r="I62" s="185"/>
      <c r="J62" s="186">
        <f>SUBTOTAL(9,J48:J61)</f>
        <v>503202</v>
      </c>
      <c r="K62" s="187"/>
      <c r="L62" s="187"/>
      <c r="M62" s="188">
        <f t="shared" ref="M62:AB62" si="46">SUBTOTAL(9,M48:M61)</f>
        <v>66224.734999999986</v>
      </c>
      <c r="N62" s="188">
        <f t="shared" si="46"/>
        <v>1438.2457999999999</v>
      </c>
      <c r="O62" s="188">
        <f t="shared" si="46"/>
        <v>3511.6509999999998</v>
      </c>
      <c r="P62" s="183"/>
      <c r="Q62" s="183">
        <f t="shared" si="46"/>
        <v>669487983.55000007</v>
      </c>
      <c r="R62" s="183">
        <f t="shared" si="46"/>
        <v>128796004.24999999</v>
      </c>
      <c r="S62" s="185">
        <f t="shared" si="46"/>
        <v>536208484.96999991</v>
      </c>
      <c r="T62" s="183">
        <f t="shared" si="46"/>
        <v>13807159.68</v>
      </c>
      <c r="U62" s="183">
        <f t="shared" si="46"/>
        <v>31604858.999999996</v>
      </c>
      <c r="V62" s="187">
        <f t="shared" si="46"/>
        <v>1379904491.45</v>
      </c>
      <c r="W62" s="187">
        <f t="shared" si="46"/>
        <v>595884372</v>
      </c>
      <c r="X62" s="183">
        <f t="shared" si="46"/>
        <v>784020119.45000005</v>
      </c>
      <c r="Y62" s="183">
        <f t="shared" si="46"/>
        <v>18466095.879999999</v>
      </c>
      <c r="Z62" s="189">
        <f t="shared" si="46"/>
        <v>802486215.33000004</v>
      </c>
      <c r="AA62" s="187">
        <f t="shared" si="46"/>
        <v>763462653.02999997</v>
      </c>
      <c r="AB62" s="190">
        <f t="shared" si="46"/>
        <v>39023562.300000004</v>
      </c>
      <c r="AC62" s="191"/>
      <c r="AD62" s="192">
        <f t="shared" ref="AD62:AJ62" si="47">SUBTOTAL(9,AD48:AD61)</f>
        <v>0</v>
      </c>
      <c r="AE62" s="187">
        <f t="shared" si="47"/>
        <v>802486215.33000004</v>
      </c>
      <c r="AF62" s="192">
        <f t="shared" si="47"/>
        <v>0</v>
      </c>
      <c r="AG62" s="192">
        <f t="shared" si="47"/>
        <v>0</v>
      </c>
      <c r="AH62" s="187">
        <f t="shared" si="47"/>
        <v>0</v>
      </c>
      <c r="AI62" s="187">
        <f t="shared" si="47"/>
        <v>802486215.33000004</v>
      </c>
      <c r="AJ62" s="187">
        <f t="shared" si="47"/>
        <v>802486215.33000004</v>
      </c>
    </row>
    <row r="63" spans="1:36" s="127" customFormat="1" ht="14.25" customHeight="1" outlineLevel="2">
      <c r="A63" s="156">
        <v>547</v>
      </c>
      <c r="B63" s="157" t="s">
        <v>26</v>
      </c>
      <c r="C63" s="120" t="s">
        <v>133</v>
      </c>
      <c r="D63" s="157" t="s">
        <v>134</v>
      </c>
      <c r="E63" s="157" t="s">
        <v>135</v>
      </c>
      <c r="F63" s="157" t="s">
        <v>136</v>
      </c>
      <c r="G63" s="158">
        <v>1.1000000000000001</v>
      </c>
      <c r="H63" s="159"/>
      <c r="I63" s="160">
        <f t="shared" si="33"/>
        <v>1.1000000000000001</v>
      </c>
      <c r="J63" s="161">
        <v>113857</v>
      </c>
      <c r="K63" s="162">
        <f>VLOOKUP($E63,'2.จัดสรรหลังSK'!$E$4:$Y$98,5,FALSE)</f>
        <v>1025.1564892804131</v>
      </c>
      <c r="L63" s="162">
        <f>VLOOKUP($E63,'2.จัดสรรหลังSK'!$E$4:$Y$98,6,FALSE)</f>
        <v>199.33537841327279</v>
      </c>
      <c r="M63" s="163">
        <v>25036.7287</v>
      </c>
      <c r="N63" s="163">
        <v>802.25710000000004</v>
      </c>
      <c r="O63" s="163">
        <v>771.60400000000004</v>
      </c>
      <c r="P63" s="158">
        <f t="shared" si="34"/>
        <v>7042.3751743800949</v>
      </c>
      <c r="Q63" s="158">
        <f>VLOOKUP($E63,'2.จัดสรรหลังSK'!$E$4:$Y$98,11,FALSE)</f>
        <v>116721242.40000001</v>
      </c>
      <c r="R63" s="158">
        <f>VLOOKUP($E63,'2.จัดสรรหลังSK'!$E$4:$Y$98,12,FALSE)</f>
        <v>22695728.18</v>
      </c>
      <c r="S63" s="160">
        <f>IF($H$105&lt;&gt;0,ROUND(ROUND(M63*I63,4)*P63,2),VLOOKUP($E63,'2.จัดสรรหลังSK'!$E$4:$Q$98,13,FALSE))</f>
        <v>193949840.41</v>
      </c>
      <c r="T63" s="158">
        <f>VLOOKUP($E63,'2.จัดสรรหลังSK'!$E$4:$Y$98,14,FALSE)</f>
        <v>7701668.1600000001</v>
      </c>
      <c r="U63" s="158">
        <f>VLOOKUP($E63,'2.จัดสรรหลังSK'!$E$4:$Y$98,15,FALSE)</f>
        <v>6944436</v>
      </c>
      <c r="V63" s="162">
        <f t="shared" ref="V63:V71" si="48">SUM(Q63:U63)</f>
        <v>348012915.15000004</v>
      </c>
      <c r="W63" s="162">
        <v>208014576</v>
      </c>
      <c r="X63" s="158">
        <f t="shared" ref="X63:X71" si="49">ROUND(V63-W63,2)</f>
        <v>139998339.15000001</v>
      </c>
      <c r="Y63" s="164">
        <v>305889.76</v>
      </c>
      <c r="Z63" s="165">
        <f t="shared" ref="Z63:Z71" si="50">ROUND(X63+Y63,2)</f>
        <v>140304228.91</v>
      </c>
      <c r="AA63" s="162">
        <f>VLOOKUP($E63,'2.จัดสรรหลังSK'!$E$4:$Y$98,21,FALSE)</f>
        <v>140304228.91</v>
      </c>
      <c r="AB63" s="166">
        <f t="shared" ref="AB63:AB71" si="51">ROUND(Z63-AA63,2)</f>
        <v>0</v>
      </c>
      <c r="AC63" s="167" t="str">
        <f t="shared" ref="AC63:AC71" si="52">IF(Z63&gt;=AA63,"ผ่าน","ไม่ผ่าน")</f>
        <v>ผ่าน</v>
      </c>
      <c r="AD63" s="168"/>
      <c r="AE63" s="162">
        <f t="shared" ref="AE63:AE71" si="53">ROUND(Z63+AD63,2)</f>
        <v>140304228.91</v>
      </c>
      <c r="AF63" s="168"/>
      <c r="AG63" s="168"/>
      <c r="AH63" s="162">
        <f t="shared" ref="AH63:AH71" si="54">ROUND(AF63+AG63,2)</f>
        <v>0</v>
      </c>
      <c r="AI63" s="162">
        <f t="shared" ref="AI63:AI71" si="55">ROUND(Z63-AH63,2)</f>
        <v>140304228.91</v>
      </c>
      <c r="AJ63" s="162">
        <f t="shared" ref="AJ63:AJ71" si="56">ROUND(AE63-AH63,2)</f>
        <v>140304228.91</v>
      </c>
    </row>
    <row r="64" spans="1:36" s="127" customFormat="1" ht="14.25" customHeight="1" outlineLevel="2">
      <c r="A64" s="119">
        <v>548</v>
      </c>
      <c r="B64" s="120" t="s">
        <v>26</v>
      </c>
      <c r="C64" s="120" t="s">
        <v>133</v>
      </c>
      <c r="D64" s="120" t="s">
        <v>134</v>
      </c>
      <c r="E64" s="120" t="s">
        <v>137</v>
      </c>
      <c r="F64" s="120" t="s">
        <v>138</v>
      </c>
      <c r="G64" s="121">
        <v>1.1499999999999999</v>
      </c>
      <c r="H64" s="89"/>
      <c r="I64" s="80">
        <f t="shared" si="33"/>
        <v>1.1499999999999999</v>
      </c>
      <c r="J64" s="122">
        <v>58808</v>
      </c>
      <c r="K64" s="123">
        <f>VLOOKUP($E64,'2.จัดสรรหลังSK'!$E$4:$Y$98,5,FALSE)</f>
        <v>1215.3135923683851</v>
      </c>
      <c r="L64" s="123">
        <f>VLOOKUP($E64,'2.จัดสรรหลังSK'!$E$4:$Y$98,6,FALSE)</f>
        <v>236.31025829819072</v>
      </c>
      <c r="M64" s="124">
        <v>4158.5572000000002</v>
      </c>
      <c r="N64" s="124">
        <v>72.887799999999999</v>
      </c>
      <c r="O64" s="124">
        <v>0</v>
      </c>
      <c r="P64" s="121">
        <f t="shared" si="34"/>
        <v>7042.3751743800949</v>
      </c>
      <c r="Q64" s="121">
        <f>VLOOKUP($E64,'2.จัดสรรหลังSK'!$E$4:$Y$98,11,FALSE)</f>
        <v>71470161.739999995</v>
      </c>
      <c r="R64" s="121">
        <f>VLOOKUP($E64,'2.จัดสรรหลังSK'!$E$4:$Y$98,12,FALSE)</f>
        <v>13896933.67</v>
      </c>
      <c r="S64" s="80">
        <f>IF($H$105&lt;&gt;0,ROUND(ROUND(M64*I64,4)*P64,2),VLOOKUP($E64,'2.จัดสรรหลังSK'!$E$4:$Q$98,13,FALSE))</f>
        <v>33679038.109999999</v>
      </c>
      <c r="T64" s="121">
        <f>VLOOKUP($E64,'2.จัดสรรหลังSK'!$E$4:$Y$98,14,FALSE)</f>
        <v>699722.88</v>
      </c>
      <c r="U64" s="121">
        <f>VLOOKUP($E64,'2.จัดสรรหลังSK'!$E$4:$Y$98,15,FALSE)</f>
        <v>0</v>
      </c>
      <c r="V64" s="123">
        <f t="shared" si="48"/>
        <v>119745856.39999999</v>
      </c>
      <c r="W64" s="123">
        <v>59216641</v>
      </c>
      <c r="X64" s="121">
        <f t="shared" si="49"/>
        <v>60529215.399999999</v>
      </c>
      <c r="Y64" s="81">
        <v>7456085.5599999996</v>
      </c>
      <c r="Z64" s="125">
        <f t="shared" si="50"/>
        <v>67985300.959999993</v>
      </c>
      <c r="AA64" s="123">
        <f>VLOOKUP($E64,'2.จัดสรรหลังSK'!$E$4:$Y$98,21,FALSE)</f>
        <v>67985300.959999993</v>
      </c>
      <c r="AB64" s="9">
        <f t="shared" si="51"/>
        <v>0</v>
      </c>
      <c r="AC64" s="126" t="str">
        <f t="shared" si="52"/>
        <v>ผ่าน</v>
      </c>
      <c r="AD64" s="128"/>
      <c r="AE64" s="123">
        <f t="shared" si="53"/>
        <v>67985300.959999993</v>
      </c>
      <c r="AF64" s="128"/>
      <c r="AG64" s="128"/>
      <c r="AH64" s="123">
        <f t="shared" si="54"/>
        <v>0</v>
      </c>
      <c r="AI64" s="123">
        <f t="shared" si="55"/>
        <v>67985300.959999993</v>
      </c>
      <c r="AJ64" s="123">
        <f t="shared" si="56"/>
        <v>67985300.959999993</v>
      </c>
    </row>
    <row r="65" spans="1:36" s="127" customFormat="1" ht="14.25" customHeight="1" outlineLevel="2">
      <c r="A65" s="119">
        <v>549</v>
      </c>
      <c r="B65" s="120" t="s">
        <v>26</v>
      </c>
      <c r="C65" s="120" t="s">
        <v>133</v>
      </c>
      <c r="D65" s="120" t="s">
        <v>134</v>
      </c>
      <c r="E65" s="120" t="s">
        <v>139</v>
      </c>
      <c r="F65" s="120" t="s">
        <v>140</v>
      </c>
      <c r="G65" s="121">
        <v>1.3</v>
      </c>
      <c r="H65" s="89"/>
      <c r="I65" s="80">
        <f t="shared" si="33"/>
        <v>1.3</v>
      </c>
      <c r="J65" s="122">
        <v>23615</v>
      </c>
      <c r="K65" s="123">
        <f>VLOOKUP($E65,'2.จัดสรรหลังSK'!$E$4:$Y$98,5,FALSE)</f>
        <v>1500.3902828710566</v>
      </c>
      <c r="L65" s="123">
        <f>VLOOKUP($E65,'2.จัดสรรหลังSK'!$E$4:$Y$98,6,FALSE)</f>
        <v>291.74166843108196</v>
      </c>
      <c r="M65" s="124">
        <v>1035.9312</v>
      </c>
      <c r="N65" s="124">
        <v>31.698699999999999</v>
      </c>
      <c r="O65" s="124">
        <v>0</v>
      </c>
      <c r="P65" s="121">
        <f t="shared" si="34"/>
        <v>7042.3751743800949</v>
      </c>
      <c r="Q65" s="121">
        <f>VLOOKUP($E65,'2.จัดสรรหลังSK'!$E$4:$Y$98,11,FALSE)</f>
        <v>35431716.530000001</v>
      </c>
      <c r="R65" s="121">
        <f>VLOOKUP($E65,'2.จัดสรรหลังSK'!$E$4:$Y$98,12,FALSE)</f>
        <v>6889479.5</v>
      </c>
      <c r="S65" s="80">
        <f>IF($H$105&lt;&gt;0,ROUND(ROUND(M65*I65,4)*P65,2),VLOOKUP($E65,'2.จัดสรรหลังSK'!$E$4:$Q$98,13,FALSE))</f>
        <v>9484041.2899999991</v>
      </c>
      <c r="T65" s="121">
        <f>VLOOKUP($E65,'2.จัดสรรหลังSK'!$E$4:$Y$98,14,FALSE)</f>
        <v>304307.52</v>
      </c>
      <c r="U65" s="121">
        <f>VLOOKUP($E65,'2.จัดสรรหลังSK'!$E$4:$Y$98,15,FALSE)</f>
        <v>0</v>
      </c>
      <c r="V65" s="123">
        <f t="shared" si="48"/>
        <v>52109544.840000004</v>
      </c>
      <c r="W65" s="123">
        <v>27044830</v>
      </c>
      <c r="X65" s="121">
        <f t="shared" si="49"/>
        <v>25064714.84</v>
      </c>
      <c r="Y65" s="81">
        <v>0</v>
      </c>
      <c r="Z65" s="125">
        <f t="shared" si="50"/>
        <v>25064714.84</v>
      </c>
      <c r="AA65" s="123">
        <f>VLOOKUP($E65,'2.จัดสรรหลังSK'!$E$4:$Y$98,21,FALSE)</f>
        <v>23663704.07</v>
      </c>
      <c r="AB65" s="9">
        <f t="shared" si="51"/>
        <v>1401010.77</v>
      </c>
      <c r="AC65" s="126" t="str">
        <f t="shared" si="52"/>
        <v>ผ่าน</v>
      </c>
      <c r="AD65" s="128"/>
      <c r="AE65" s="123">
        <f t="shared" si="53"/>
        <v>25064714.84</v>
      </c>
      <c r="AF65" s="128"/>
      <c r="AG65" s="128"/>
      <c r="AH65" s="123">
        <f t="shared" si="54"/>
        <v>0</v>
      </c>
      <c r="AI65" s="123">
        <f t="shared" si="55"/>
        <v>25064714.84</v>
      </c>
      <c r="AJ65" s="123">
        <f t="shared" si="56"/>
        <v>25064714.84</v>
      </c>
    </row>
    <row r="66" spans="1:36" s="127" customFormat="1" ht="14.25" customHeight="1" outlineLevel="2">
      <c r="A66" s="119">
        <v>550</v>
      </c>
      <c r="B66" s="120" t="s">
        <v>26</v>
      </c>
      <c r="C66" s="120" t="s">
        <v>133</v>
      </c>
      <c r="D66" s="120" t="s">
        <v>134</v>
      </c>
      <c r="E66" s="120" t="s">
        <v>141</v>
      </c>
      <c r="F66" s="120" t="s">
        <v>142</v>
      </c>
      <c r="G66" s="121">
        <v>1.3</v>
      </c>
      <c r="H66" s="89"/>
      <c r="I66" s="80">
        <f t="shared" si="33"/>
        <v>1.3</v>
      </c>
      <c r="J66" s="122">
        <v>20444</v>
      </c>
      <c r="K66" s="123">
        <f>VLOOKUP($E66,'2.จัดสรรหลังSK'!$E$4:$Y$98,5,FALSE)</f>
        <v>1541.0543548229309</v>
      </c>
      <c r="L66" s="123">
        <f>VLOOKUP($E66,'2.จัดสรรหลังSK'!$E$4:$Y$98,6,FALSE)</f>
        <v>299.6485472510272</v>
      </c>
      <c r="M66" s="124">
        <v>1600.0196000000001</v>
      </c>
      <c r="N66" s="124">
        <v>32.459099999999999</v>
      </c>
      <c r="O66" s="124">
        <v>0</v>
      </c>
      <c r="P66" s="121">
        <f t="shared" si="34"/>
        <v>7042.3751743800949</v>
      </c>
      <c r="Q66" s="121">
        <f>VLOOKUP($E66,'2.จัดสรรหลังSK'!$E$4:$Y$98,11,FALSE)</f>
        <v>31505315.23</v>
      </c>
      <c r="R66" s="121">
        <f>VLOOKUP($E66,'2.จัดสรรหลังSK'!$E$4:$Y$98,12,FALSE)</f>
        <v>6126014.9000000004</v>
      </c>
      <c r="S66" s="80">
        <f>IF($H$105&lt;&gt;0,ROUND(ROUND(M66*I66,4)*P66,2),VLOOKUP($E66,'2.จัดสรรหลังSK'!$E$4:$Q$98,13,FALSE))</f>
        <v>14648319.939999999</v>
      </c>
      <c r="T66" s="121">
        <f>VLOOKUP($E66,'2.จัดสรรหลังSK'!$E$4:$Y$98,14,FALSE)</f>
        <v>311607.36</v>
      </c>
      <c r="U66" s="121">
        <f>VLOOKUP($E66,'2.จัดสรรหลังSK'!$E$4:$Y$98,15,FALSE)</f>
        <v>0</v>
      </c>
      <c r="V66" s="123">
        <f t="shared" si="48"/>
        <v>52591257.43</v>
      </c>
      <c r="W66" s="123">
        <v>21829206</v>
      </c>
      <c r="X66" s="121">
        <f t="shared" si="49"/>
        <v>30762051.43</v>
      </c>
      <c r="Y66" s="81">
        <v>0</v>
      </c>
      <c r="Z66" s="125">
        <f t="shared" si="50"/>
        <v>30762051.43</v>
      </c>
      <c r="AA66" s="123">
        <f>VLOOKUP($E66,'2.จัดสรรหลังSK'!$E$4:$Y$98,21,FALSE)</f>
        <v>29145258.460000001</v>
      </c>
      <c r="AB66" s="9">
        <f t="shared" si="51"/>
        <v>1616792.97</v>
      </c>
      <c r="AC66" s="126" t="str">
        <f t="shared" si="52"/>
        <v>ผ่าน</v>
      </c>
      <c r="AD66" s="128"/>
      <c r="AE66" s="123">
        <f t="shared" si="53"/>
        <v>30762051.43</v>
      </c>
      <c r="AF66" s="128"/>
      <c r="AG66" s="128"/>
      <c r="AH66" s="123">
        <f t="shared" si="54"/>
        <v>0</v>
      </c>
      <c r="AI66" s="123">
        <f t="shared" si="55"/>
        <v>30762051.43</v>
      </c>
      <c r="AJ66" s="123">
        <f t="shared" si="56"/>
        <v>30762051.43</v>
      </c>
    </row>
    <row r="67" spans="1:36" s="127" customFormat="1" ht="14.25" customHeight="1" outlineLevel="2">
      <c r="A67" s="119">
        <v>551</v>
      </c>
      <c r="B67" s="120" t="s">
        <v>26</v>
      </c>
      <c r="C67" s="120" t="s">
        <v>133</v>
      </c>
      <c r="D67" s="120" t="s">
        <v>134</v>
      </c>
      <c r="E67" s="120" t="s">
        <v>143</v>
      </c>
      <c r="F67" s="120" t="s">
        <v>144</v>
      </c>
      <c r="G67" s="121">
        <v>1.1000000000000001</v>
      </c>
      <c r="H67" s="89"/>
      <c r="I67" s="80">
        <f t="shared" si="33"/>
        <v>1.1000000000000001</v>
      </c>
      <c r="J67" s="122">
        <v>63858</v>
      </c>
      <c r="K67" s="123">
        <f>VLOOKUP($E67,'2.จัดสรรหลังSK'!$E$4:$Y$98,5,FALSE)</f>
        <v>1186.4761713489304</v>
      </c>
      <c r="L67" s="123">
        <f>VLOOKUP($E67,'2.จัดสรรหลังSK'!$E$4:$Y$98,6,FALSE)</f>
        <v>230.70299915437374</v>
      </c>
      <c r="M67" s="124">
        <v>15479.2256</v>
      </c>
      <c r="N67" s="124">
        <v>185.00049999999999</v>
      </c>
      <c r="O67" s="124">
        <v>272.47050000000002</v>
      </c>
      <c r="P67" s="121">
        <f t="shared" si="34"/>
        <v>7042.3751743800949</v>
      </c>
      <c r="Q67" s="121">
        <f>VLOOKUP($E67,'2.จัดสรรหลังSK'!$E$4:$Y$98,11,FALSE)</f>
        <v>75765995.349999994</v>
      </c>
      <c r="R67" s="121">
        <f>VLOOKUP($E67,'2.จัดสรรหลังSK'!$E$4:$Y$98,12,FALSE)</f>
        <v>14732232.119999999</v>
      </c>
      <c r="S67" s="80">
        <f>IF($H$105&lt;&gt;0,ROUND(ROUND(M67*I67,4)*P67,2),VLOOKUP($E67,'2.จัดสรรหลังSK'!$E$4:$Q$98,13,FALSE))</f>
        <v>119911565.70999999</v>
      </c>
      <c r="T67" s="121">
        <f>VLOOKUP($E67,'2.จัดสรรหลังSK'!$E$4:$Y$98,14,FALSE)</f>
        <v>1776004.8</v>
      </c>
      <c r="U67" s="121">
        <f>VLOOKUP($E67,'2.จัดสรรหลังSK'!$E$4:$Y$98,15,FALSE)</f>
        <v>2452234.5</v>
      </c>
      <c r="V67" s="123">
        <f t="shared" si="48"/>
        <v>214638032.48000002</v>
      </c>
      <c r="W67" s="123">
        <v>101286529</v>
      </c>
      <c r="X67" s="121">
        <f t="shared" si="49"/>
        <v>113351503.48</v>
      </c>
      <c r="Y67" s="81">
        <v>15385742.85</v>
      </c>
      <c r="Z67" s="125">
        <f t="shared" si="50"/>
        <v>128737246.33</v>
      </c>
      <c r="AA67" s="123">
        <f>VLOOKUP($E67,'2.จัดสรรหลังSK'!$E$4:$Y$98,21,FALSE)</f>
        <v>128737246.33</v>
      </c>
      <c r="AB67" s="9">
        <f t="shared" si="51"/>
        <v>0</v>
      </c>
      <c r="AC67" s="126" t="str">
        <f t="shared" si="52"/>
        <v>ผ่าน</v>
      </c>
      <c r="AD67" s="128"/>
      <c r="AE67" s="123">
        <f t="shared" si="53"/>
        <v>128737246.33</v>
      </c>
      <c r="AF67" s="128"/>
      <c r="AG67" s="128"/>
      <c r="AH67" s="123">
        <f t="shared" si="54"/>
        <v>0</v>
      </c>
      <c r="AI67" s="123">
        <f t="shared" si="55"/>
        <v>128737246.33</v>
      </c>
      <c r="AJ67" s="123">
        <f t="shared" si="56"/>
        <v>128737246.33</v>
      </c>
    </row>
    <row r="68" spans="1:36" s="127" customFormat="1" ht="14.25" customHeight="1" outlineLevel="2">
      <c r="A68" s="119">
        <v>552</v>
      </c>
      <c r="B68" s="120" t="s">
        <v>26</v>
      </c>
      <c r="C68" s="120" t="s">
        <v>133</v>
      </c>
      <c r="D68" s="120" t="s">
        <v>134</v>
      </c>
      <c r="E68" s="120" t="s">
        <v>145</v>
      </c>
      <c r="F68" s="120" t="s">
        <v>146</v>
      </c>
      <c r="G68" s="121">
        <v>1.3</v>
      </c>
      <c r="H68" s="89"/>
      <c r="I68" s="80">
        <f t="shared" si="33"/>
        <v>1.3</v>
      </c>
      <c r="J68" s="122">
        <v>20258</v>
      </c>
      <c r="K68" s="123">
        <f>VLOOKUP($E68,'2.จัดสรรหลังSK'!$E$4:$Y$98,5,FALSE)</f>
        <v>1543.83482969691</v>
      </c>
      <c r="L68" s="123">
        <f>VLOOKUP($E68,'2.จัดสรรหลังSK'!$E$4:$Y$98,6,FALSE)</f>
        <v>300.18919389870672</v>
      </c>
      <c r="M68" s="124">
        <v>764.00919999999996</v>
      </c>
      <c r="N68" s="124">
        <v>14.5219</v>
      </c>
      <c r="O68" s="124">
        <v>0</v>
      </c>
      <c r="P68" s="121">
        <f t="shared" si="34"/>
        <v>7042.3751743800949</v>
      </c>
      <c r="Q68" s="121">
        <f>VLOOKUP($E68,'2.จัดสรรหลังSK'!$E$4:$Y$98,11,FALSE)</f>
        <v>31275005.98</v>
      </c>
      <c r="R68" s="121">
        <f>VLOOKUP($E68,'2.จัดสรรหลังSK'!$E$4:$Y$98,12,FALSE)</f>
        <v>6081232.6900000004</v>
      </c>
      <c r="S68" s="80">
        <f>IF($H$105&lt;&gt;0,ROUND(ROUND(M68*I68,4)*P68,2),VLOOKUP($E68,'2.จัดสรรหลังSK'!$E$4:$Q$98,13,FALSE))</f>
        <v>6994571.5300000003</v>
      </c>
      <c r="T68" s="121">
        <f>VLOOKUP($E68,'2.จัดสรรหลังSK'!$E$4:$Y$98,14,FALSE)</f>
        <v>139410.23999999999</v>
      </c>
      <c r="U68" s="121">
        <f>VLOOKUP($E68,'2.จัดสรรหลังSK'!$E$4:$Y$98,15,FALSE)</f>
        <v>0</v>
      </c>
      <c r="V68" s="123">
        <f t="shared" si="48"/>
        <v>44490220.440000005</v>
      </c>
      <c r="W68" s="123">
        <v>16595595</v>
      </c>
      <c r="X68" s="121">
        <f t="shared" si="49"/>
        <v>27894625.440000001</v>
      </c>
      <c r="Y68" s="81">
        <v>0</v>
      </c>
      <c r="Z68" s="125">
        <f t="shared" si="50"/>
        <v>27894625.440000001</v>
      </c>
      <c r="AA68" s="123">
        <f>VLOOKUP($E68,'2.จัดสรรหลังSK'!$E$4:$Y$98,21,FALSE)</f>
        <v>23142609.149999999</v>
      </c>
      <c r="AB68" s="9">
        <f t="shared" si="51"/>
        <v>4752016.29</v>
      </c>
      <c r="AC68" s="126" t="str">
        <f t="shared" si="52"/>
        <v>ผ่าน</v>
      </c>
      <c r="AD68" s="128"/>
      <c r="AE68" s="123">
        <f t="shared" si="53"/>
        <v>27894625.440000001</v>
      </c>
      <c r="AF68" s="128"/>
      <c r="AG68" s="128"/>
      <c r="AH68" s="123">
        <f t="shared" si="54"/>
        <v>0</v>
      </c>
      <c r="AI68" s="123">
        <f t="shared" si="55"/>
        <v>27894625.440000001</v>
      </c>
      <c r="AJ68" s="123">
        <f t="shared" si="56"/>
        <v>27894625.440000001</v>
      </c>
    </row>
    <row r="69" spans="1:36" s="127" customFormat="1" ht="14.25" customHeight="1" outlineLevel="2">
      <c r="A69" s="119">
        <v>553</v>
      </c>
      <c r="B69" s="120" t="s">
        <v>26</v>
      </c>
      <c r="C69" s="120" t="s">
        <v>133</v>
      </c>
      <c r="D69" s="120" t="s">
        <v>134</v>
      </c>
      <c r="E69" s="120" t="s">
        <v>147</v>
      </c>
      <c r="F69" s="120" t="s">
        <v>148</v>
      </c>
      <c r="G69" s="121">
        <v>1.35</v>
      </c>
      <c r="H69" s="89"/>
      <c r="I69" s="80">
        <f t="shared" si="33"/>
        <v>1.35</v>
      </c>
      <c r="J69" s="122">
        <v>11935</v>
      </c>
      <c r="K69" s="123">
        <f>VLOOKUP($E69,'2.จัดสรรหลังSK'!$E$4:$Y$98,5,FALSE)</f>
        <v>1637.4258592375365</v>
      </c>
      <c r="L69" s="123">
        <f>VLOOKUP($E69,'2.จัดสรรหลังSK'!$E$4:$Y$98,6,FALSE)</f>
        <v>318.38739421868451</v>
      </c>
      <c r="M69" s="124">
        <v>747.43359999999996</v>
      </c>
      <c r="N69" s="124">
        <v>16.221900000000002</v>
      </c>
      <c r="O69" s="124">
        <v>0</v>
      </c>
      <c r="P69" s="121">
        <f t="shared" si="34"/>
        <v>7042.3751743800949</v>
      </c>
      <c r="Q69" s="121">
        <f>VLOOKUP($E69,'2.จัดสรรหลังSK'!$E$4:$Y$98,11,FALSE)</f>
        <v>19542677.629999999</v>
      </c>
      <c r="R69" s="121">
        <f>VLOOKUP($E69,'2.จัดสรรหลังSK'!$E$4:$Y$98,12,FALSE)</f>
        <v>3799953.55</v>
      </c>
      <c r="S69" s="80">
        <f>IF($H$105&lt;&gt;0,ROUND(ROUND(M69*I69,4)*P69,2),VLOOKUP($E69,'2.จัดสรรหลังSK'!$E$4:$Q$98,13,FALSE))</f>
        <v>7106005.8499999996</v>
      </c>
      <c r="T69" s="121">
        <f>VLOOKUP($E69,'2.จัดสรรหลังSK'!$E$4:$Y$98,14,FALSE)</f>
        <v>155730.23999999999</v>
      </c>
      <c r="U69" s="121">
        <f>VLOOKUP($E69,'2.จัดสรรหลังSK'!$E$4:$Y$98,15,FALSE)</f>
        <v>0</v>
      </c>
      <c r="V69" s="123">
        <f t="shared" si="48"/>
        <v>30604367.27</v>
      </c>
      <c r="W69" s="123">
        <v>11433521</v>
      </c>
      <c r="X69" s="121">
        <f t="shared" si="49"/>
        <v>19170846.27</v>
      </c>
      <c r="Y69" s="81">
        <v>0</v>
      </c>
      <c r="Z69" s="125">
        <f t="shared" si="50"/>
        <v>19170846.27</v>
      </c>
      <c r="AA69" s="123">
        <f>VLOOKUP($E69,'2.จัดสรรหลังSK'!$E$4:$Y$98,21,FALSE)</f>
        <v>14052343.65</v>
      </c>
      <c r="AB69" s="9">
        <f t="shared" si="51"/>
        <v>5118502.62</v>
      </c>
      <c r="AC69" s="126" t="str">
        <f t="shared" si="52"/>
        <v>ผ่าน</v>
      </c>
      <c r="AD69" s="128"/>
      <c r="AE69" s="123">
        <f t="shared" si="53"/>
        <v>19170846.27</v>
      </c>
      <c r="AF69" s="128"/>
      <c r="AG69" s="128"/>
      <c r="AH69" s="123">
        <f t="shared" si="54"/>
        <v>0</v>
      </c>
      <c r="AI69" s="123">
        <f t="shared" si="55"/>
        <v>19170846.27</v>
      </c>
      <c r="AJ69" s="123">
        <f t="shared" si="56"/>
        <v>19170846.27</v>
      </c>
    </row>
    <row r="70" spans="1:36" s="127" customFormat="1" ht="14.25" customHeight="1" outlineLevel="2">
      <c r="A70" s="119">
        <v>554</v>
      </c>
      <c r="B70" s="120" t="s">
        <v>26</v>
      </c>
      <c r="C70" s="120" t="s">
        <v>133</v>
      </c>
      <c r="D70" s="120" t="s">
        <v>134</v>
      </c>
      <c r="E70" s="120" t="s">
        <v>149</v>
      </c>
      <c r="F70" s="120" t="s">
        <v>150</v>
      </c>
      <c r="G70" s="121">
        <v>1.25</v>
      </c>
      <c r="H70" s="89"/>
      <c r="I70" s="80">
        <f t="shared" si="33"/>
        <v>1.25</v>
      </c>
      <c r="J70" s="122">
        <v>36734</v>
      </c>
      <c r="K70" s="123">
        <f>VLOOKUP($E70,'2.จัดสรรหลังSK'!$E$4:$Y$98,5,FALSE)</f>
        <v>1374.3338280611968</v>
      </c>
      <c r="L70" s="123">
        <f>VLOOKUP($E70,'2.จัดสรรหลังSK'!$E$4:$Y$98,6,FALSE)</f>
        <v>267.23076577557572</v>
      </c>
      <c r="M70" s="124">
        <v>1199.5108</v>
      </c>
      <c r="N70" s="124">
        <v>26.208500000000001</v>
      </c>
      <c r="O70" s="124">
        <v>0</v>
      </c>
      <c r="P70" s="121">
        <f t="shared" si="34"/>
        <v>7042.3751743800949</v>
      </c>
      <c r="Q70" s="121">
        <f>VLOOKUP($E70,'2.จัดสรรหลังSK'!$E$4:$Y$98,11,FALSE)</f>
        <v>50484778.840000004</v>
      </c>
      <c r="R70" s="121">
        <f>VLOOKUP($E70,'2.จัดสรรหลังSK'!$E$4:$Y$98,12,FALSE)</f>
        <v>9816454.9499999993</v>
      </c>
      <c r="S70" s="80">
        <f>IF($H$105&lt;&gt;0,ROUND(ROUND(M70*I70,4)*P70,2),VLOOKUP($E70,'2.จัดสรรหลังSK'!$E$4:$Q$98,13,FALSE))</f>
        <v>10559256.34</v>
      </c>
      <c r="T70" s="121">
        <f>VLOOKUP($E70,'2.จัดสรรหลังSK'!$E$4:$Y$98,14,FALSE)</f>
        <v>251601.6</v>
      </c>
      <c r="U70" s="121">
        <f>VLOOKUP($E70,'2.จัดสรรหลังSK'!$E$4:$Y$98,15,FALSE)</f>
        <v>0</v>
      </c>
      <c r="V70" s="123">
        <f t="shared" si="48"/>
        <v>71112091.730000004</v>
      </c>
      <c r="W70" s="123">
        <v>17775711</v>
      </c>
      <c r="X70" s="121">
        <f t="shared" si="49"/>
        <v>53336380.729999997</v>
      </c>
      <c r="Y70" s="81">
        <v>0</v>
      </c>
      <c r="Z70" s="125">
        <f t="shared" si="50"/>
        <v>53336380.729999997</v>
      </c>
      <c r="AA70" s="123">
        <f>VLOOKUP($E70,'2.จัดสรรหลังSK'!$E$4:$Y$98,21,FALSE)</f>
        <v>48271510.189999998</v>
      </c>
      <c r="AB70" s="9">
        <f t="shared" si="51"/>
        <v>5064870.54</v>
      </c>
      <c r="AC70" s="126" t="str">
        <f t="shared" si="52"/>
        <v>ผ่าน</v>
      </c>
      <c r="AD70" s="128"/>
      <c r="AE70" s="123">
        <f t="shared" si="53"/>
        <v>53336380.729999997</v>
      </c>
      <c r="AF70" s="128"/>
      <c r="AG70" s="128"/>
      <c r="AH70" s="123">
        <f t="shared" si="54"/>
        <v>0</v>
      </c>
      <c r="AI70" s="123">
        <f t="shared" si="55"/>
        <v>53336380.729999997</v>
      </c>
      <c r="AJ70" s="123">
        <f t="shared" si="56"/>
        <v>53336380.729999997</v>
      </c>
    </row>
    <row r="71" spans="1:36" s="127" customFormat="1" ht="14.25" customHeight="1" outlineLevel="2">
      <c r="A71" s="119">
        <v>555</v>
      </c>
      <c r="B71" s="120" t="s">
        <v>26</v>
      </c>
      <c r="C71" s="120" t="s">
        <v>133</v>
      </c>
      <c r="D71" s="120" t="s">
        <v>134</v>
      </c>
      <c r="E71" s="120" t="s">
        <v>151</v>
      </c>
      <c r="F71" s="120" t="s">
        <v>152</v>
      </c>
      <c r="G71" s="121">
        <v>1.3</v>
      </c>
      <c r="H71" s="89"/>
      <c r="I71" s="80">
        <f t="shared" si="33"/>
        <v>1.3</v>
      </c>
      <c r="J71" s="122">
        <v>29056</v>
      </c>
      <c r="K71" s="123">
        <f>VLOOKUP($E71,'2.จัดสรรหลังSK'!$E$4:$Y$98,5,FALSE)</f>
        <v>1451.2968505644274</v>
      </c>
      <c r="L71" s="123">
        <f>VLOOKUP($E71,'2.จัดสรรหลังSK'!$E$4:$Y$98,6,FALSE)</f>
        <v>282.19575268447136</v>
      </c>
      <c r="M71" s="124">
        <v>756.48389999999995</v>
      </c>
      <c r="N71" s="124">
        <v>16.392700000000001</v>
      </c>
      <c r="O71" s="124">
        <v>0</v>
      </c>
      <c r="P71" s="121">
        <f t="shared" si="34"/>
        <v>7042.3751743800949</v>
      </c>
      <c r="Q71" s="121">
        <f>VLOOKUP($E71,'2.จัดสรรหลังSK'!$E$4:$Y$98,11,FALSE)</f>
        <v>42168881.289999999</v>
      </c>
      <c r="R71" s="121">
        <f>VLOOKUP($E71,'2.จัดสรรหลังSK'!$E$4:$Y$98,12,FALSE)</f>
        <v>8199479.79</v>
      </c>
      <c r="S71" s="80">
        <f>IF($H$105&lt;&gt;0,ROUND(ROUND(M71*I71,4)*P71,2),VLOOKUP($E71,'2.จัดสรรหลังSK'!$E$4:$Q$98,13,FALSE))</f>
        <v>6925676.6799999997</v>
      </c>
      <c r="T71" s="121">
        <f>VLOOKUP($E71,'2.จัดสรรหลังSK'!$E$4:$Y$98,14,FALSE)</f>
        <v>157369.92000000001</v>
      </c>
      <c r="U71" s="121">
        <f>VLOOKUP($E71,'2.จัดสรรหลังSK'!$E$4:$Y$98,15,FALSE)</f>
        <v>0</v>
      </c>
      <c r="V71" s="123">
        <f t="shared" si="48"/>
        <v>57451407.68</v>
      </c>
      <c r="W71" s="123">
        <v>15437218</v>
      </c>
      <c r="X71" s="121">
        <f t="shared" si="49"/>
        <v>42014189.68</v>
      </c>
      <c r="Y71" s="81">
        <v>0</v>
      </c>
      <c r="Z71" s="125">
        <f t="shared" si="50"/>
        <v>42014189.68</v>
      </c>
      <c r="AA71" s="123">
        <f>VLOOKUP($E71,'2.จัดสรรหลังSK'!$E$4:$Y$98,21,FALSE)</f>
        <v>32168260.719999999</v>
      </c>
      <c r="AB71" s="9">
        <f t="shared" si="51"/>
        <v>9845928.9600000009</v>
      </c>
      <c r="AC71" s="126" t="str">
        <f t="shared" si="52"/>
        <v>ผ่าน</v>
      </c>
      <c r="AD71" s="128"/>
      <c r="AE71" s="123">
        <f t="shared" si="53"/>
        <v>42014189.68</v>
      </c>
      <c r="AF71" s="128"/>
      <c r="AG71" s="128"/>
      <c r="AH71" s="123">
        <f t="shared" si="54"/>
        <v>0</v>
      </c>
      <c r="AI71" s="123">
        <f t="shared" si="55"/>
        <v>42014189.68</v>
      </c>
      <c r="AJ71" s="123">
        <f t="shared" si="56"/>
        <v>42014189.68</v>
      </c>
    </row>
    <row r="72" spans="1:36" s="127" customFormat="1" ht="14.25" customHeight="1" outlineLevel="1">
      <c r="A72" s="180"/>
      <c r="B72" s="181"/>
      <c r="C72" s="155"/>
      <c r="D72" s="182" t="s">
        <v>283</v>
      </c>
      <c r="E72" s="181"/>
      <c r="F72" s="181"/>
      <c r="G72" s="183"/>
      <c r="H72" s="184"/>
      <c r="I72" s="185"/>
      <c r="J72" s="186">
        <f>SUBTOTAL(9,J63:J71)</f>
        <v>378565</v>
      </c>
      <c r="K72" s="187"/>
      <c r="L72" s="187"/>
      <c r="M72" s="188">
        <f t="shared" ref="M72:AB72" si="57">SUBTOTAL(9,M63:M71)</f>
        <v>50777.899799999992</v>
      </c>
      <c r="N72" s="188">
        <f t="shared" si="57"/>
        <v>1197.6482000000001</v>
      </c>
      <c r="O72" s="188">
        <f t="shared" si="57"/>
        <v>1044.0745000000002</v>
      </c>
      <c r="P72" s="183"/>
      <c r="Q72" s="183">
        <f t="shared" si="57"/>
        <v>474365774.99000007</v>
      </c>
      <c r="R72" s="183">
        <f t="shared" si="57"/>
        <v>92237509.350000009</v>
      </c>
      <c r="S72" s="185">
        <f t="shared" si="57"/>
        <v>403258315.85999995</v>
      </c>
      <c r="T72" s="183">
        <f t="shared" si="57"/>
        <v>11497422.720000001</v>
      </c>
      <c r="U72" s="183">
        <f t="shared" si="57"/>
        <v>9396670.5</v>
      </c>
      <c r="V72" s="187">
        <f t="shared" si="57"/>
        <v>990755693.41999996</v>
      </c>
      <c r="W72" s="187">
        <f t="shared" si="57"/>
        <v>478633827</v>
      </c>
      <c r="X72" s="183">
        <f t="shared" si="57"/>
        <v>512121866.42000002</v>
      </c>
      <c r="Y72" s="183">
        <f t="shared" si="57"/>
        <v>23147718.169999998</v>
      </c>
      <c r="Z72" s="189">
        <f t="shared" si="57"/>
        <v>535269584.59000003</v>
      </c>
      <c r="AA72" s="187">
        <f t="shared" si="57"/>
        <v>507470462.43999994</v>
      </c>
      <c r="AB72" s="190">
        <f t="shared" si="57"/>
        <v>27799122.150000002</v>
      </c>
      <c r="AC72" s="191"/>
      <c r="AD72" s="192">
        <f t="shared" ref="AD72:AJ72" si="58">SUBTOTAL(9,AD63:AD71)</f>
        <v>0</v>
      </c>
      <c r="AE72" s="187">
        <f t="shared" si="58"/>
        <v>535269584.59000003</v>
      </c>
      <c r="AF72" s="192">
        <f t="shared" si="58"/>
        <v>0</v>
      </c>
      <c r="AG72" s="192">
        <f t="shared" si="58"/>
        <v>0</v>
      </c>
      <c r="AH72" s="187">
        <f t="shared" si="58"/>
        <v>0</v>
      </c>
      <c r="AI72" s="187">
        <f t="shared" si="58"/>
        <v>535269584.59000003</v>
      </c>
      <c r="AJ72" s="187">
        <f t="shared" si="58"/>
        <v>535269584.59000003</v>
      </c>
    </row>
    <row r="73" spans="1:36" s="127" customFormat="1" ht="14.25" customHeight="1" outlineLevel="2">
      <c r="A73" s="156">
        <v>556</v>
      </c>
      <c r="B73" s="157" t="s">
        <v>26</v>
      </c>
      <c r="C73" s="120" t="s">
        <v>153</v>
      </c>
      <c r="D73" s="157" t="s">
        <v>154</v>
      </c>
      <c r="E73" s="157" t="s">
        <v>155</v>
      </c>
      <c r="F73" s="157" t="s">
        <v>156</v>
      </c>
      <c r="G73" s="158">
        <v>1.05</v>
      </c>
      <c r="H73" s="159"/>
      <c r="I73" s="160">
        <f t="shared" si="33"/>
        <v>1.05</v>
      </c>
      <c r="J73" s="161">
        <v>144119</v>
      </c>
      <c r="K73" s="162">
        <f>VLOOKUP($E73,'2.จัดสรรหลังSK'!$E$4:$Y$98,5,FALSE)</f>
        <v>933.61620077852342</v>
      </c>
      <c r="L73" s="162">
        <f>VLOOKUP($E73,'2.จัดสรรหลังSK'!$E$4:$Y$98,6,FALSE)</f>
        <v>186.95914320804337</v>
      </c>
      <c r="M73" s="163">
        <v>64935.822200000002</v>
      </c>
      <c r="N73" s="163">
        <v>1697.0589</v>
      </c>
      <c r="O73" s="163">
        <v>3289.3168000000001</v>
      </c>
      <c r="P73" s="158">
        <f t="shared" si="34"/>
        <v>7042.3751743800949</v>
      </c>
      <c r="Q73" s="158">
        <f>VLOOKUP($E73,'2.จัดสรรหลังSK'!$E$4:$Y$98,11,FALSE)</f>
        <v>134551833.24000001</v>
      </c>
      <c r="R73" s="158">
        <f>VLOOKUP($E73,'2.จัดสรรหลังSK'!$E$4:$Y$98,12,FALSE)</f>
        <v>26944364.760000002</v>
      </c>
      <c r="S73" s="160">
        <f>IF($H$105&lt;&gt;0,ROUND(ROUND(M73*I73,4)*P73,2),VLOOKUP($E73,'2.จัดสรรหลังSK'!$E$4:$Q$98,13,FALSE))</f>
        <v>480167542.97000003</v>
      </c>
      <c r="T73" s="158">
        <f>VLOOKUP($E73,'2.จัดสรรหลังSK'!$E$4:$Y$98,14,FALSE)</f>
        <v>16291765.439999999</v>
      </c>
      <c r="U73" s="158">
        <f>VLOOKUP($E73,'2.จัดสรรหลังSK'!$E$4:$Y$98,15,FALSE)</f>
        <v>29603851.199999999</v>
      </c>
      <c r="V73" s="162">
        <f t="shared" ref="V73:V90" si="59">SUM(Q73:U73)</f>
        <v>687559357.61000013</v>
      </c>
      <c r="W73" s="162">
        <v>323766736</v>
      </c>
      <c r="X73" s="158">
        <f t="shared" ref="X73:X90" si="60">ROUND(V73-W73,2)</f>
        <v>363792621.61000001</v>
      </c>
      <c r="Y73" s="164">
        <v>0</v>
      </c>
      <c r="Z73" s="165">
        <f t="shared" ref="Z73:Z90" si="61">ROUND(X73+Y73,2)</f>
        <v>363792621.61000001</v>
      </c>
      <c r="AA73" s="162">
        <f>VLOOKUP($E73,'2.จัดสรรหลังSK'!$E$4:$Y$98,21,FALSE)</f>
        <v>335430338.27999997</v>
      </c>
      <c r="AB73" s="166">
        <f t="shared" ref="AB73:AB90" si="62">ROUND(Z73-AA73,2)</f>
        <v>28362283.329999998</v>
      </c>
      <c r="AC73" s="167" t="str">
        <f t="shared" ref="AC73:AC90" si="63">IF(Z73&gt;=AA73,"ผ่าน","ไม่ผ่าน")</f>
        <v>ผ่าน</v>
      </c>
      <c r="AD73" s="168"/>
      <c r="AE73" s="162">
        <f t="shared" ref="AE73:AE90" si="64">ROUND(Z73+AD73,2)</f>
        <v>363792621.61000001</v>
      </c>
      <c r="AF73" s="168"/>
      <c r="AG73" s="168"/>
      <c r="AH73" s="162">
        <f t="shared" ref="AH73:AH90" si="65">ROUND(AF73+AG73,2)</f>
        <v>0</v>
      </c>
      <c r="AI73" s="162">
        <f t="shared" ref="AI73:AI90" si="66">ROUND(Z73-AH73,2)</f>
        <v>363792621.61000001</v>
      </c>
      <c r="AJ73" s="162">
        <f t="shared" ref="AJ73:AJ90" si="67">ROUND(AE73-AH73,2)</f>
        <v>363792621.61000001</v>
      </c>
    </row>
    <row r="74" spans="1:36" s="127" customFormat="1" ht="14.25" customHeight="1" outlineLevel="2">
      <c r="A74" s="119">
        <v>557</v>
      </c>
      <c r="B74" s="120" t="s">
        <v>26</v>
      </c>
      <c r="C74" s="120" t="s">
        <v>153</v>
      </c>
      <c r="D74" s="120" t="s">
        <v>154</v>
      </c>
      <c r="E74" s="120" t="s">
        <v>157</v>
      </c>
      <c r="F74" s="120" t="s">
        <v>158</v>
      </c>
      <c r="G74" s="121">
        <v>1.25</v>
      </c>
      <c r="H74" s="89"/>
      <c r="I74" s="80">
        <f t="shared" si="33"/>
        <v>1.25</v>
      </c>
      <c r="J74" s="122">
        <v>35944</v>
      </c>
      <c r="K74" s="123">
        <f>VLOOKUP($E74,'2.จัดสรรหลังSK'!$E$4:$Y$98,5,FALSE)</f>
        <v>1329.90210021144</v>
      </c>
      <c r="L74" s="123">
        <f>VLOOKUP($E74,'2.จัดสรรหลังSK'!$E$4:$Y$98,6,FALSE)</f>
        <v>266.31645531938568</v>
      </c>
      <c r="M74" s="124">
        <v>1801.1591000000001</v>
      </c>
      <c r="N74" s="124">
        <v>37.211599999999997</v>
      </c>
      <c r="O74" s="124">
        <v>0</v>
      </c>
      <c r="P74" s="121">
        <f t="shared" si="34"/>
        <v>7042.3751743800949</v>
      </c>
      <c r="Q74" s="121">
        <f>VLOOKUP($E74,'2.จัดสรรหลังSK'!$E$4:$Y$98,11,FALSE)</f>
        <v>47802001.090000004</v>
      </c>
      <c r="R74" s="121">
        <f>VLOOKUP($E74,'2.จัดสรรหลังSK'!$E$4:$Y$98,12,FALSE)</f>
        <v>9572478.6699999999</v>
      </c>
      <c r="S74" s="80">
        <f>IF($H$105&lt;&gt;0,ROUND(ROUND(M74*I74,4)*P74,2),VLOOKUP($E74,'2.จัดสรรหลังSK'!$E$4:$Q$98,13,FALSE))</f>
        <v>15855547.83</v>
      </c>
      <c r="T74" s="121">
        <f>VLOOKUP($E74,'2.จัดสรรหลังSK'!$E$4:$Y$98,14,FALSE)</f>
        <v>357231.35999999999</v>
      </c>
      <c r="U74" s="121">
        <f>VLOOKUP($E74,'2.จัดสรรหลังSK'!$E$4:$Y$98,15,FALSE)</f>
        <v>0</v>
      </c>
      <c r="V74" s="123">
        <f t="shared" si="59"/>
        <v>73587258.950000003</v>
      </c>
      <c r="W74" s="123">
        <v>25518937</v>
      </c>
      <c r="X74" s="121">
        <f t="shared" si="60"/>
        <v>48068321.950000003</v>
      </c>
      <c r="Y74" s="81">
        <v>0</v>
      </c>
      <c r="Z74" s="125">
        <f t="shared" si="61"/>
        <v>48068321.950000003</v>
      </c>
      <c r="AA74" s="123">
        <f>VLOOKUP($E74,'2.จัดสรรหลังSK'!$E$4:$Y$98,21,FALSE)</f>
        <v>40614513.039999999</v>
      </c>
      <c r="AB74" s="9">
        <f t="shared" si="62"/>
        <v>7453808.9100000001</v>
      </c>
      <c r="AC74" s="126" t="str">
        <f t="shared" si="63"/>
        <v>ผ่าน</v>
      </c>
      <c r="AD74" s="128"/>
      <c r="AE74" s="123">
        <f t="shared" si="64"/>
        <v>48068321.950000003</v>
      </c>
      <c r="AF74" s="128"/>
      <c r="AG74" s="128"/>
      <c r="AH74" s="123">
        <f t="shared" si="65"/>
        <v>0</v>
      </c>
      <c r="AI74" s="123">
        <f t="shared" si="66"/>
        <v>48068321.950000003</v>
      </c>
      <c r="AJ74" s="123">
        <f t="shared" si="67"/>
        <v>48068321.950000003</v>
      </c>
    </row>
    <row r="75" spans="1:36" s="127" customFormat="1" ht="14.25" customHeight="1" outlineLevel="2">
      <c r="A75" s="119">
        <v>558</v>
      </c>
      <c r="B75" s="120" t="s">
        <v>26</v>
      </c>
      <c r="C75" s="120" t="s">
        <v>153</v>
      </c>
      <c r="D75" s="120" t="s">
        <v>154</v>
      </c>
      <c r="E75" s="120" t="s">
        <v>159</v>
      </c>
      <c r="F75" s="120" t="s">
        <v>160</v>
      </c>
      <c r="G75" s="121">
        <v>1.3</v>
      </c>
      <c r="H75" s="89"/>
      <c r="I75" s="80">
        <f t="shared" si="33"/>
        <v>1.3</v>
      </c>
      <c r="J75" s="122">
        <v>24067</v>
      </c>
      <c r="K75" s="123">
        <f>VLOOKUP($E75,'2.จัดสรรหลังSK'!$E$4:$Y$98,5,FALSE)</f>
        <v>1439.9110337806956</v>
      </c>
      <c r="L75" s="123">
        <f>VLOOKUP($E75,'2.จัดสรรหลังSK'!$E$4:$Y$98,6,FALSE)</f>
        <v>288.34603897452945</v>
      </c>
      <c r="M75" s="124">
        <v>1380.0408</v>
      </c>
      <c r="N75" s="124">
        <v>11.3102</v>
      </c>
      <c r="O75" s="124">
        <v>0</v>
      </c>
      <c r="P75" s="121">
        <f t="shared" si="34"/>
        <v>7042.3751743800949</v>
      </c>
      <c r="Q75" s="121">
        <f>VLOOKUP($E75,'2.จัดสรรหลังSK'!$E$4:$Y$98,11,FALSE)</f>
        <v>34654338.850000001</v>
      </c>
      <c r="R75" s="121">
        <f>VLOOKUP($E75,'2.จัดสรรหลังSK'!$E$4:$Y$98,12,FALSE)</f>
        <v>6939624.1200000001</v>
      </c>
      <c r="S75" s="80">
        <f>IF($H$105&lt;&gt;0,ROUND(ROUND(M75*I75,4)*P75,2),VLOOKUP($E75,'2.จัดสรรหลังSK'!$E$4:$Q$98,13,FALSE))</f>
        <v>12634394.300000001</v>
      </c>
      <c r="T75" s="121">
        <f>VLOOKUP($E75,'2.จัดสรรหลังSK'!$E$4:$Y$98,14,FALSE)</f>
        <v>108577.92</v>
      </c>
      <c r="U75" s="121">
        <f>VLOOKUP($E75,'2.จัดสรรหลังSK'!$E$4:$Y$98,15,FALSE)</f>
        <v>0</v>
      </c>
      <c r="V75" s="123">
        <f t="shared" si="59"/>
        <v>54336935.189999998</v>
      </c>
      <c r="W75" s="123">
        <v>23543178</v>
      </c>
      <c r="X75" s="121">
        <f t="shared" si="60"/>
        <v>30793757.190000001</v>
      </c>
      <c r="Y75" s="81">
        <v>0</v>
      </c>
      <c r="Z75" s="125">
        <f t="shared" si="61"/>
        <v>30793757.190000001</v>
      </c>
      <c r="AA75" s="123">
        <f>VLOOKUP($E75,'2.จัดสรรหลังSK'!$E$4:$Y$98,21,FALSE)</f>
        <v>27603016.539999999</v>
      </c>
      <c r="AB75" s="9">
        <f t="shared" si="62"/>
        <v>3190740.65</v>
      </c>
      <c r="AC75" s="126" t="str">
        <f t="shared" si="63"/>
        <v>ผ่าน</v>
      </c>
      <c r="AD75" s="128"/>
      <c r="AE75" s="123">
        <f t="shared" si="64"/>
        <v>30793757.190000001</v>
      </c>
      <c r="AF75" s="128"/>
      <c r="AG75" s="128"/>
      <c r="AH75" s="123">
        <f t="shared" si="65"/>
        <v>0</v>
      </c>
      <c r="AI75" s="123">
        <f t="shared" si="66"/>
        <v>30793757.190000001</v>
      </c>
      <c r="AJ75" s="123">
        <f t="shared" si="67"/>
        <v>30793757.190000001</v>
      </c>
    </row>
    <row r="76" spans="1:36" s="127" customFormat="1" ht="14.25" customHeight="1" outlineLevel="2">
      <c r="A76" s="119">
        <v>559</v>
      </c>
      <c r="B76" s="120" t="s">
        <v>26</v>
      </c>
      <c r="C76" s="120" t="s">
        <v>153</v>
      </c>
      <c r="D76" s="120" t="s">
        <v>154</v>
      </c>
      <c r="E76" s="120" t="s">
        <v>161</v>
      </c>
      <c r="F76" s="120" t="s">
        <v>162</v>
      </c>
      <c r="G76" s="121">
        <v>1.1499999999999999</v>
      </c>
      <c r="H76" s="89"/>
      <c r="I76" s="80">
        <f t="shared" si="33"/>
        <v>1.1499999999999999</v>
      </c>
      <c r="J76" s="122">
        <v>55513</v>
      </c>
      <c r="K76" s="123">
        <f>VLOOKUP($E76,'2.จัดสรรหลังSK'!$E$4:$Y$98,5,FALSE)</f>
        <v>1189.0749206492173</v>
      </c>
      <c r="L76" s="123">
        <f>VLOOKUP($E76,'2.จัดสรรหลังSK'!$E$4:$Y$98,6,FALSE)</f>
        <v>238.11543566371842</v>
      </c>
      <c r="M76" s="124">
        <v>3467.9058</v>
      </c>
      <c r="N76" s="124">
        <v>60.6571</v>
      </c>
      <c r="O76" s="124">
        <v>0</v>
      </c>
      <c r="P76" s="121">
        <f t="shared" si="34"/>
        <v>7042.3751743800949</v>
      </c>
      <c r="Q76" s="121">
        <f>VLOOKUP($E76,'2.จัดสรรหลังSK'!$E$4:$Y$98,11,FALSE)</f>
        <v>66009116.07</v>
      </c>
      <c r="R76" s="121">
        <f>VLOOKUP($E76,'2.จัดสรรหลังSK'!$E$4:$Y$98,12,FALSE)</f>
        <v>13218502.18</v>
      </c>
      <c r="S76" s="80">
        <f>IF($H$105&lt;&gt;0,ROUND(ROUND(M76*I76,4)*P76,2),VLOOKUP($E76,'2.จัดสรรหลังSK'!$E$4:$Q$98,13,FALSE))</f>
        <v>28085637.969999999</v>
      </c>
      <c r="T76" s="121">
        <f>VLOOKUP($E76,'2.จัดสรรหลังSK'!$E$4:$Y$98,14,FALSE)</f>
        <v>582308.16</v>
      </c>
      <c r="U76" s="121">
        <f>VLOOKUP($E76,'2.จัดสรรหลังSK'!$E$4:$Y$98,15,FALSE)</f>
        <v>0</v>
      </c>
      <c r="V76" s="123">
        <f t="shared" si="59"/>
        <v>107895564.38</v>
      </c>
      <c r="W76" s="123">
        <v>53332333</v>
      </c>
      <c r="X76" s="121">
        <f t="shared" si="60"/>
        <v>54563231.380000003</v>
      </c>
      <c r="Y76" s="81">
        <v>0</v>
      </c>
      <c r="Z76" s="125">
        <f t="shared" si="61"/>
        <v>54563231.380000003</v>
      </c>
      <c r="AA76" s="123">
        <f>VLOOKUP($E76,'2.จัดสรรหลังSK'!$E$4:$Y$98,21,FALSE)</f>
        <v>49008175.850000001</v>
      </c>
      <c r="AB76" s="9">
        <f t="shared" si="62"/>
        <v>5555055.5300000003</v>
      </c>
      <c r="AC76" s="126" t="str">
        <f t="shared" si="63"/>
        <v>ผ่าน</v>
      </c>
      <c r="AD76" s="128"/>
      <c r="AE76" s="123">
        <f t="shared" si="64"/>
        <v>54563231.380000003</v>
      </c>
      <c r="AF76" s="128"/>
      <c r="AG76" s="128"/>
      <c r="AH76" s="123">
        <f t="shared" si="65"/>
        <v>0</v>
      </c>
      <c r="AI76" s="123">
        <f t="shared" si="66"/>
        <v>54563231.380000003</v>
      </c>
      <c r="AJ76" s="123">
        <f t="shared" si="67"/>
        <v>54563231.380000003</v>
      </c>
    </row>
    <row r="77" spans="1:36" s="127" customFormat="1" ht="14.25" customHeight="1" outlineLevel="2">
      <c r="A77" s="119">
        <v>560</v>
      </c>
      <c r="B77" s="120" t="s">
        <v>26</v>
      </c>
      <c r="C77" s="120" t="s">
        <v>153</v>
      </c>
      <c r="D77" s="120" t="s">
        <v>154</v>
      </c>
      <c r="E77" s="120" t="s">
        <v>163</v>
      </c>
      <c r="F77" s="120" t="s">
        <v>164</v>
      </c>
      <c r="G77" s="121">
        <v>1.1499999999999999</v>
      </c>
      <c r="H77" s="89"/>
      <c r="I77" s="80">
        <f t="shared" si="33"/>
        <v>1.1499999999999999</v>
      </c>
      <c r="J77" s="122">
        <v>39521</v>
      </c>
      <c r="K77" s="123">
        <f>VLOOKUP($E77,'2.จัดสรรหลังSK'!$E$4:$Y$98,5,FALSE)</f>
        <v>1302.0256587636952</v>
      </c>
      <c r="L77" s="123">
        <f>VLOOKUP($E77,'2.จัดสรรหลังSK'!$E$4:$Y$98,6,FALSE)</f>
        <v>260.73412337744486</v>
      </c>
      <c r="M77" s="124">
        <v>3996.7566000000002</v>
      </c>
      <c r="N77" s="124">
        <v>116.1169</v>
      </c>
      <c r="O77" s="124">
        <v>0</v>
      </c>
      <c r="P77" s="121">
        <f t="shared" si="34"/>
        <v>7042.3751743800949</v>
      </c>
      <c r="Q77" s="121">
        <f>VLOOKUP($E77,'2.จัดสรรหลังSK'!$E$4:$Y$98,11,FALSE)</f>
        <v>51457356.060000002</v>
      </c>
      <c r="R77" s="121">
        <f>VLOOKUP($E77,'2.จัดสรรหลังSK'!$E$4:$Y$98,12,FALSE)</f>
        <v>10304473.289999999</v>
      </c>
      <c r="S77" s="80">
        <f>IF($H$105&lt;&gt;0,ROUND(ROUND(M77*I77,4)*P77,2),VLOOKUP($E77,'2.จัดสรรหลังSK'!$E$4:$Q$98,13,FALSE))</f>
        <v>32368658.43</v>
      </c>
      <c r="T77" s="121">
        <f>VLOOKUP($E77,'2.จัดสรรหลังSK'!$E$4:$Y$98,14,FALSE)</f>
        <v>1114722.24</v>
      </c>
      <c r="U77" s="121">
        <f>VLOOKUP($E77,'2.จัดสรรหลังSK'!$E$4:$Y$98,15,FALSE)</f>
        <v>0</v>
      </c>
      <c r="V77" s="123">
        <f t="shared" si="59"/>
        <v>95245210.019999996</v>
      </c>
      <c r="W77" s="123">
        <v>49432336</v>
      </c>
      <c r="X77" s="121">
        <f t="shared" si="60"/>
        <v>45812874.020000003</v>
      </c>
      <c r="Y77" s="81">
        <v>0</v>
      </c>
      <c r="Z77" s="125">
        <f t="shared" si="61"/>
        <v>45812874.020000003</v>
      </c>
      <c r="AA77" s="123">
        <f>VLOOKUP($E77,'2.จัดสรรหลังSK'!$E$4:$Y$98,21,FALSE)</f>
        <v>39807852.299999997</v>
      </c>
      <c r="AB77" s="9">
        <f t="shared" si="62"/>
        <v>6005021.7199999997</v>
      </c>
      <c r="AC77" s="126" t="str">
        <f t="shared" si="63"/>
        <v>ผ่าน</v>
      </c>
      <c r="AD77" s="128"/>
      <c r="AE77" s="123">
        <f t="shared" si="64"/>
        <v>45812874.020000003</v>
      </c>
      <c r="AF77" s="128"/>
      <c r="AG77" s="128"/>
      <c r="AH77" s="123">
        <f t="shared" si="65"/>
        <v>0</v>
      </c>
      <c r="AI77" s="123">
        <f t="shared" si="66"/>
        <v>45812874.020000003</v>
      </c>
      <c r="AJ77" s="123">
        <f t="shared" si="67"/>
        <v>45812874.020000003</v>
      </c>
    </row>
    <row r="78" spans="1:36" s="127" customFormat="1" ht="14.25" customHeight="1" outlineLevel="2">
      <c r="A78" s="119">
        <v>561</v>
      </c>
      <c r="B78" s="120" t="s">
        <v>26</v>
      </c>
      <c r="C78" s="120" t="s">
        <v>153</v>
      </c>
      <c r="D78" s="120" t="s">
        <v>154</v>
      </c>
      <c r="E78" s="120" t="s">
        <v>165</v>
      </c>
      <c r="F78" s="120" t="s">
        <v>166</v>
      </c>
      <c r="G78" s="121">
        <v>1.25</v>
      </c>
      <c r="H78" s="89"/>
      <c r="I78" s="80">
        <f t="shared" si="33"/>
        <v>1.25</v>
      </c>
      <c r="J78" s="122">
        <v>37339</v>
      </c>
      <c r="K78" s="123">
        <f>VLOOKUP($E78,'2.จัดสรรหลังSK'!$E$4:$Y$98,5,FALSE)</f>
        <v>1318.3952133158359</v>
      </c>
      <c r="L78" s="123">
        <f>VLOOKUP($E78,'2.จัดสรรหลังSK'!$E$4:$Y$98,6,FALSE)</f>
        <v>264.01217065266877</v>
      </c>
      <c r="M78" s="124">
        <v>1312.8268</v>
      </c>
      <c r="N78" s="124">
        <v>20.333600000000001</v>
      </c>
      <c r="O78" s="124">
        <v>0</v>
      </c>
      <c r="P78" s="121">
        <f t="shared" si="34"/>
        <v>7042.3751743800949</v>
      </c>
      <c r="Q78" s="121">
        <f>VLOOKUP($E78,'2.จัดสรรหลังSK'!$E$4:$Y$98,11,FALSE)</f>
        <v>49227558.869999997</v>
      </c>
      <c r="R78" s="121">
        <f>VLOOKUP($E78,'2.จัดสรรหลังSK'!$E$4:$Y$98,12,FALSE)</f>
        <v>9857950.4399999995</v>
      </c>
      <c r="S78" s="80">
        <f>IF($H$105&lt;&gt;0,ROUND(ROUND(M78*I78,4)*P78,2),VLOOKUP($E78,'2.จัดสรรหลังSK'!$E$4:$Q$98,13,FALSE))</f>
        <v>11556773.57</v>
      </c>
      <c r="T78" s="121">
        <f>VLOOKUP($E78,'2.จัดสรรหลังSK'!$E$4:$Y$98,14,FALSE)</f>
        <v>195202.56</v>
      </c>
      <c r="U78" s="121">
        <f>VLOOKUP($E78,'2.จัดสรรหลังSK'!$E$4:$Y$98,15,FALSE)</f>
        <v>0</v>
      </c>
      <c r="V78" s="123">
        <f t="shared" si="59"/>
        <v>70837485.439999998</v>
      </c>
      <c r="W78" s="123">
        <v>29896276</v>
      </c>
      <c r="X78" s="121">
        <f t="shared" si="60"/>
        <v>40941209.439999998</v>
      </c>
      <c r="Y78" s="81">
        <v>0</v>
      </c>
      <c r="Z78" s="125">
        <f t="shared" si="61"/>
        <v>40941209.439999998</v>
      </c>
      <c r="AA78" s="123">
        <f>VLOOKUP($E78,'2.จัดสรรหลังSK'!$E$4:$Y$98,21,FALSE)</f>
        <v>36254253.359999999</v>
      </c>
      <c r="AB78" s="9">
        <f t="shared" si="62"/>
        <v>4686956.08</v>
      </c>
      <c r="AC78" s="126" t="str">
        <f t="shared" si="63"/>
        <v>ผ่าน</v>
      </c>
      <c r="AD78" s="128"/>
      <c r="AE78" s="123">
        <f t="shared" si="64"/>
        <v>40941209.439999998</v>
      </c>
      <c r="AF78" s="128"/>
      <c r="AG78" s="128"/>
      <c r="AH78" s="123">
        <f t="shared" si="65"/>
        <v>0</v>
      </c>
      <c r="AI78" s="123">
        <f t="shared" si="66"/>
        <v>40941209.439999998</v>
      </c>
      <c r="AJ78" s="123">
        <f t="shared" si="67"/>
        <v>40941209.439999998</v>
      </c>
    </row>
    <row r="79" spans="1:36" s="127" customFormat="1" ht="14.25" customHeight="1" outlineLevel="2">
      <c r="A79" s="119">
        <v>562</v>
      </c>
      <c r="B79" s="120" t="s">
        <v>26</v>
      </c>
      <c r="C79" s="120" t="s">
        <v>153</v>
      </c>
      <c r="D79" s="120" t="s">
        <v>154</v>
      </c>
      <c r="E79" s="120" t="s">
        <v>167</v>
      </c>
      <c r="F79" s="120" t="s">
        <v>168</v>
      </c>
      <c r="G79" s="121">
        <v>1.35</v>
      </c>
      <c r="H79" s="89"/>
      <c r="I79" s="80">
        <f t="shared" si="33"/>
        <v>1.35</v>
      </c>
      <c r="J79" s="122">
        <v>10627</v>
      </c>
      <c r="K79" s="123">
        <f>VLOOKUP($E79,'2.จัดสรรหลังSK'!$E$4:$Y$98,5,FALSE)</f>
        <v>1602.9433273736706</v>
      </c>
      <c r="L79" s="123">
        <f>VLOOKUP($E79,'2.จัดสรรหลังSK'!$E$4:$Y$98,6,FALSE)</f>
        <v>320.99369154041591</v>
      </c>
      <c r="M79" s="124">
        <v>416.00130000000001</v>
      </c>
      <c r="N79" s="124">
        <v>6.5098000000000003</v>
      </c>
      <c r="O79" s="124">
        <v>0</v>
      </c>
      <c r="P79" s="121">
        <f t="shared" si="34"/>
        <v>7042.3751743800949</v>
      </c>
      <c r="Q79" s="121">
        <f>VLOOKUP($E79,'2.จัดสรรหลังSK'!$E$4:$Y$98,11,FALSE)</f>
        <v>17034478.739999998</v>
      </c>
      <c r="R79" s="121">
        <f>VLOOKUP($E79,'2.จัดสรรหลังSK'!$E$4:$Y$98,12,FALSE)</f>
        <v>3411199.96</v>
      </c>
      <c r="S79" s="80">
        <f>IF($H$105&lt;&gt;0,ROUND(ROUND(M79*I79,4)*P79,2),VLOOKUP($E79,'2.จัดสรรหลังSK'!$E$4:$Q$98,13,FALSE))</f>
        <v>3955010.57</v>
      </c>
      <c r="T79" s="121">
        <f>VLOOKUP($E79,'2.จัดสรรหลังSK'!$E$4:$Y$98,14,FALSE)</f>
        <v>62494.080000000002</v>
      </c>
      <c r="U79" s="121">
        <f>VLOOKUP($E79,'2.จัดสรรหลังSK'!$E$4:$Y$98,15,FALSE)</f>
        <v>0</v>
      </c>
      <c r="V79" s="123">
        <f t="shared" si="59"/>
        <v>24463183.349999998</v>
      </c>
      <c r="W79" s="123">
        <v>15240143</v>
      </c>
      <c r="X79" s="121">
        <f t="shared" si="60"/>
        <v>9223040.3499999996</v>
      </c>
      <c r="Y79" s="81">
        <v>4555016.3</v>
      </c>
      <c r="Z79" s="125">
        <f t="shared" si="61"/>
        <v>13778056.65</v>
      </c>
      <c r="AA79" s="123">
        <f>VLOOKUP($E79,'2.จัดสรรหลังSK'!$E$4:$Y$98,21,FALSE)</f>
        <v>13778056.65</v>
      </c>
      <c r="AB79" s="9">
        <f t="shared" si="62"/>
        <v>0</v>
      </c>
      <c r="AC79" s="126" t="str">
        <f t="shared" si="63"/>
        <v>ผ่าน</v>
      </c>
      <c r="AD79" s="128"/>
      <c r="AE79" s="123">
        <f t="shared" si="64"/>
        <v>13778056.65</v>
      </c>
      <c r="AF79" s="128"/>
      <c r="AG79" s="128"/>
      <c r="AH79" s="123">
        <f t="shared" si="65"/>
        <v>0</v>
      </c>
      <c r="AI79" s="123">
        <f t="shared" si="66"/>
        <v>13778056.65</v>
      </c>
      <c r="AJ79" s="123">
        <f t="shared" si="67"/>
        <v>13778056.65</v>
      </c>
    </row>
    <row r="80" spans="1:36" s="127" customFormat="1" ht="14.25" customHeight="1" outlineLevel="2">
      <c r="A80" s="119">
        <v>563</v>
      </c>
      <c r="B80" s="120" t="s">
        <v>26</v>
      </c>
      <c r="C80" s="120" t="s">
        <v>153</v>
      </c>
      <c r="D80" s="120" t="s">
        <v>154</v>
      </c>
      <c r="E80" s="120" t="s">
        <v>169</v>
      </c>
      <c r="F80" s="120" t="s">
        <v>170</v>
      </c>
      <c r="G80" s="121">
        <v>1.1499999999999999</v>
      </c>
      <c r="H80" s="89"/>
      <c r="I80" s="80">
        <f t="shared" si="33"/>
        <v>1.1499999999999999</v>
      </c>
      <c r="J80" s="122">
        <v>92525</v>
      </c>
      <c r="K80" s="123">
        <f>VLOOKUP($E80,'2.จัดสรรหลังSK'!$E$4:$Y$98,5,FALSE)</f>
        <v>1037.9429557416915</v>
      </c>
      <c r="L80" s="123">
        <f>VLOOKUP($E80,'2.จัดสรรหลังSK'!$E$4:$Y$98,6,FALSE)</f>
        <v>207.85085512023778</v>
      </c>
      <c r="M80" s="124">
        <v>10181.222100000001</v>
      </c>
      <c r="N80" s="124">
        <v>190.64879999999999</v>
      </c>
      <c r="O80" s="124">
        <v>236.4572</v>
      </c>
      <c r="P80" s="121">
        <f t="shared" si="34"/>
        <v>7042.3751743800949</v>
      </c>
      <c r="Q80" s="121">
        <f>VLOOKUP($E80,'2.จัดสรรหลังSK'!$E$4:$Y$98,11,FALSE)</f>
        <v>96035671.980000004</v>
      </c>
      <c r="R80" s="121">
        <f>VLOOKUP($E80,'2.จัดสรรหลังSK'!$E$4:$Y$98,12,FALSE)</f>
        <v>19231400.370000001</v>
      </c>
      <c r="S80" s="80">
        <f>IF($H$105&lt;&gt;0,ROUND(ROUND(M80*I80,4)*P80,2),VLOOKUP($E80,'2.จัดสรรหลังSK'!$E$4:$Q$98,13,FALSE))</f>
        <v>82454983.480000004</v>
      </c>
      <c r="T80" s="121">
        <f>VLOOKUP($E80,'2.จัดสรรหลังSK'!$E$4:$Y$98,14,FALSE)</f>
        <v>1830228.48</v>
      </c>
      <c r="U80" s="121">
        <f>VLOOKUP($E80,'2.จัดสรรหลังSK'!$E$4:$Y$98,15,FALSE)</f>
        <v>2128114.7999999998</v>
      </c>
      <c r="V80" s="123">
        <f t="shared" si="59"/>
        <v>201680399.11000001</v>
      </c>
      <c r="W80" s="123">
        <v>74830627</v>
      </c>
      <c r="X80" s="121">
        <f t="shared" si="60"/>
        <v>126849772.11</v>
      </c>
      <c r="Y80" s="81">
        <v>0</v>
      </c>
      <c r="Z80" s="125">
        <f t="shared" si="61"/>
        <v>126849772.11</v>
      </c>
      <c r="AA80" s="123">
        <f>VLOOKUP($E80,'2.จัดสรรหลังSK'!$E$4:$Y$98,21,FALSE)</f>
        <v>117148240.28</v>
      </c>
      <c r="AB80" s="9">
        <f t="shared" si="62"/>
        <v>9701531.8300000001</v>
      </c>
      <c r="AC80" s="126" t="str">
        <f t="shared" si="63"/>
        <v>ผ่าน</v>
      </c>
      <c r="AD80" s="128"/>
      <c r="AE80" s="123">
        <f t="shared" si="64"/>
        <v>126849772.11</v>
      </c>
      <c r="AF80" s="128"/>
      <c r="AG80" s="128"/>
      <c r="AH80" s="123">
        <f t="shared" si="65"/>
        <v>0</v>
      </c>
      <c r="AI80" s="123">
        <f t="shared" si="66"/>
        <v>126849772.11</v>
      </c>
      <c r="AJ80" s="123">
        <f t="shared" si="67"/>
        <v>126849772.11</v>
      </c>
    </row>
    <row r="81" spans="1:36" s="127" customFormat="1" ht="14.25" customHeight="1" outlineLevel="2">
      <c r="A81" s="119">
        <v>564</v>
      </c>
      <c r="B81" s="120" t="s">
        <v>26</v>
      </c>
      <c r="C81" s="120" t="s">
        <v>153</v>
      </c>
      <c r="D81" s="120" t="s">
        <v>154</v>
      </c>
      <c r="E81" s="120" t="s">
        <v>171</v>
      </c>
      <c r="F81" s="120" t="s">
        <v>172</v>
      </c>
      <c r="G81" s="121">
        <v>1.25</v>
      </c>
      <c r="H81" s="89"/>
      <c r="I81" s="80">
        <f t="shared" si="33"/>
        <v>1.25</v>
      </c>
      <c r="J81" s="122">
        <v>30686</v>
      </c>
      <c r="K81" s="123">
        <f>VLOOKUP($E81,'2.จัดสรรหลังSK'!$E$4:$Y$98,5,FALSE)</f>
        <v>1382.6769031480155</v>
      </c>
      <c r="L81" s="123">
        <f>VLOOKUP($E81,'2.จัดสรรหลังSK'!$E$4:$Y$98,6,FALSE)</f>
        <v>276.88475070064527</v>
      </c>
      <c r="M81" s="124">
        <v>1576.0279</v>
      </c>
      <c r="N81" s="124">
        <v>31.1203</v>
      </c>
      <c r="O81" s="124">
        <v>0</v>
      </c>
      <c r="P81" s="121">
        <f t="shared" si="34"/>
        <v>7042.3751743800949</v>
      </c>
      <c r="Q81" s="121">
        <f>VLOOKUP($E81,'2.จัดสรรหลังSK'!$E$4:$Y$98,11,FALSE)</f>
        <v>42428823.450000003</v>
      </c>
      <c r="R81" s="121">
        <f>VLOOKUP($E81,'2.จัดสรรหลังSK'!$E$4:$Y$98,12,FALSE)</f>
        <v>8496485.4600000009</v>
      </c>
      <c r="S81" s="80">
        <f>IF($H$105&lt;&gt;0,ROUND(ROUND(M81*I81,4)*P81,2),VLOOKUP($E81,'2.จัดสรรหลังSK'!$E$4:$Q$98,13,FALSE))</f>
        <v>13873724.859999999</v>
      </c>
      <c r="T81" s="121">
        <f>VLOOKUP($E81,'2.จัดสรรหลังSK'!$E$4:$Y$98,14,FALSE)</f>
        <v>298754.88</v>
      </c>
      <c r="U81" s="121">
        <f>VLOOKUP($E81,'2.จัดสรรหลังSK'!$E$4:$Y$98,15,FALSE)</f>
        <v>0</v>
      </c>
      <c r="V81" s="123">
        <f t="shared" si="59"/>
        <v>65097788.650000006</v>
      </c>
      <c r="W81" s="123">
        <v>26599910</v>
      </c>
      <c r="X81" s="121">
        <f t="shared" si="60"/>
        <v>38497878.649999999</v>
      </c>
      <c r="Y81" s="81">
        <v>0</v>
      </c>
      <c r="Z81" s="125">
        <f t="shared" si="61"/>
        <v>38497878.649999999</v>
      </c>
      <c r="AA81" s="123">
        <f>VLOOKUP($E81,'2.จัดสรรหลังSK'!$E$4:$Y$98,21,FALSE)</f>
        <v>35425794.219999999</v>
      </c>
      <c r="AB81" s="9">
        <f t="shared" si="62"/>
        <v>3072084.43</v>
      </c>
      <c r="AC81" s="126" t="str">
        <f t="shared" si="63"/>
        <v>ผ่าน</v>
      </c>
      <c r="AD81" s="128"/>
      <c r="AE81" s="123">
        <f t="shared" si="64"/>
        <v>38497878.649999999</v>
      </c>
      <c r="AF81" s="128"/>
      <c r="AG81" s="128"/>
      <c r="AH81" s="123">
        <f t="shared" si="65"/>
        <v>0</v>
      </c>
      <c r="AI81" s="123">
        <f t="shared" si="66"/>
        <v>38497878.649999999</v>
      </c>
      <c r="AJ81" s="123">
        <f t="shared" si="67"/>
        <v>38497878.649999999</v>
      </c>
    </row>
    <row r="82" spans="1:36" s="127" customFormat="1" ht="14.25" customHeight="1" outlineLevel="2">
      <c r="A82" s="119">
        <v>565</v>
      </c>
      <c r="B82" s="120" t="s">
        <v>26</v>
      </c>
      <c r="C82" s="120" t="s">
        <v>153</v>
      </c>
      <c r="D82" s="120" t="s">
        <v>154</v>
      </c>
      <c r="E82" s="120" t="s">
        <v>173</v>
      </c>
      <c r="F82" s="120" t="s">
        <v>174</v>
      </c>
      <c r="G82" s="121">
        <v>1.1499999999999999</v>
      </c>
      <c r="H82" s="89"/>
      <c r="I82" s="80">
        <f t="shared" si="33"/>
        <v>1.1499999999999999</v>
      </c>
      <c r="J82" s="122">
        <v>53059</v>
      </c>
      <c r="K82" s="123">
        <f>VLOOKUP($E82,'2.จัดสรรหลังSK'!$E$4:$Y$98,5,FALSE)</f>
        <v>1204.6838406302418</v>
      </c>
      <c r="L82" s="123">
        <f>VLOOKUP($E82,'2.จัดสรรหลังSK'!$E$4:$Y$98,6,FALSE)</f>
        <v>241.2411636103206</v>
      </c>
      <c r="M82" s="124">
        <v>2978.4609</v>
      </c>
      <c r="N82" s="124">
        <v>78.653800000000004</v>
      </c>
      <c r="O82" s="124">
        <v>0</v>
      </c>
      <c r="P82" s="121">
        <f t="shared" si="34"/>
        <v>7042.3751743800949</v>
      </c>
      <c r="Q82" s="121">
        <f>VLOOKUP($E82,'2.จัดสรรหลังSK'!$E$4:$Y$98,11,FALSE)</f>
        <v>63919319.899999999</v>
      </c>
      <c r="R82" s="121">
        <f>VLOOKUP($E82,'2.จัดสรรหลังSK'!$E$4:$Y$98,12,FALSE)</f>
        <v>12800014.9</v>
      </c>
      <c r="S82" s="80">
        <f>IF($H$105&lt;&gt;0,ROUND(ROUND(M82*I82,4)*P82,2),VLOOKUP($E82,'2.จัดสรรหลังSK'!$E$4:$Q$98,13,FALSE))</f>
        <v>24121754.710000001</v>
      </c>
      <c r="T82" s="121">
        <f>VLOOKUP($E82,'2.จัดสรรหลังSK'!$E$4:$Y$98,14,FALSE)</f>
        <v>755076.48</v>
      </c>
      <c r="U82" s="121">
        <f>VLOOKUP($E82,'2.จัดสรรหลังSK'!$E$4:$Y$98,15,FALSE)</f>
        <v>0</v>
      </c>
      <c r="V82" s="123">
        <f t="shared" si="59"/>
        <v>101596165.98999999</v>
      </c>
      <c r="W82" s="123">
        <v>41768850</v>
      </c>
      <c r="X82" s="121">
        <f t="shared" si="60"/>
        <v>59827315.990000002</v>
      </c>
      <c r="Y82" s="81">
        <v>436446.13</v>
      </c>
      <c r="Z82" s="125">
        <f t="shared" si="61"/>
        <v>60263762.119999997</v>
      </c>
      <c r="AA82" s="123">
        <f>VLOOKUP($E82,'2.จัดสรรหลังSK'!$E$4:$Y$98,21,FALSE)</f>
        <v>60263762.119999997</v>
      </c>
      <c r="AB82" s="9">
        <f t="shared" si="62"/>
        <v>0</v>
      </c>
      <c r="AC82" s="126" t="str">
        <f t="shared" si="63"/>
        <v>ผ่าน</v>
      </c>
      <c r="AD82" s="128"/>
      <c r="AE82" s="123">
        <f t="shared" si="64"/>
        <v>60263762.119999997</v>
      </c>
      <c r="AF82" s="128"/>
      <c r="AG82" s="128"/>
      <c r="AH82" s="123">
        <f t="shared" si="65"/>
        <v>0</v>
      </c>
      <c r="AI82" s="123">
        <f t="shared" si="66"/>
        <v>60263762.119999997</v>
      </c>
      <c r="AJ82" s="123">
        <f t="shared" si="67"/>
        <v>60263762.119999997</v>
      </c>
    </row>
    <row r="83" spans="1:36" s="127" customFormat="1" ht="14.25" customHeight="1" outlineLevel="2">
      <c r="A83" s="119">
        <v>566</v>
      </c>
      <c r="B83" s="120" t="s">
        <v>26</v>
      </c>
      <c r="C83" s="120" t="s">
        <v>153</v>
      </c>
      <c r="D83" s="120" t="s">
        <v>154</v>
      </c>
      <c r="E83" s="120" t="s">
        <v>175</v>
      </c>
      <c r="F83" s="120" t="s">
        <v>176</v>
      </c>
      <c r="G83" s="121">
        <v>1.1499999999999999</v>
      </c>
      <c r="H83" s="89"/>
      <c r="I83" s="80">
        <f t="shared" si="33"/>
        <v>1.1499999999999999</v>
      </c>
      <c r="J83" s="122">
        <v>53459</v>
      </c>
      <c r="K83" s="123">
        <f>VLOOKUP($E83,'2.จัดสรรหลังSK'!$E$4:$Y$98,5,FALSE)</f>
        <v>1202.0418445911821</v>
      </c>
      <c r="L83" s="123">
        <f>VLOOKUP($E83,'2.จัดสรรหลังSK'!$E$4:$Y$98,6,FALSE)</f>
        <v>240.71209693409904</v>
      </c>
      <c r="M83" s="124">
        <v>4128.3132999999998</v>
      </c>
      <c r="N83" s="124">
        <v>50.147500000000001</v>
      </c>
      <c r="O83" s="124">
        <v>0</v>
      </c>
      <c r="P83" s="121">
        <f t="shared" si="34"/>
        <v>7042.3751743800949</v>
      </c>
      <c r="Q83" s="121">
        <f>VLOOKUP($E83,'2.จัดสรรหลังSK'!$E$4:$Y$98,11,FALSE)</f>
        <v>64259954.969999999</v>
      </c>
      <c r="R83" s="121">
        <f>VLOOKUP($E83,'2.จัดสรรหลังSK'!$E$4:$Y$98,12,FALSE)</f>
        <v>12868227.99</v>
      </c>
      <c r="S83" s="80">
        <f>IF($H$105&lt;&gt;0,ROUND(ROUND(M83*I83,4)*P83,2),VLOOKUP($E83,'2.จัดสรรหลังSK'!$E$4:$Q$98,13,FALSE))</f>
        <v>33434100.780000001</v>
      </c>
      <c r="T83" s="121">
        <f>VLOOKUP($E83,'2.จัดสรรหลังSK'!$E$4:$Y$98,14,FALSE)</f>
        <v>481416</v>
      </c>
      <c r="U83" s="121">
        <f>VLOOKUP($E83,'2.จัดสรรหลังSK'!$E$4:$Y$98,15,FALSE)</f>
        <v>0</v>
      </c>
      <c r="V83" s="123">
        <f t="shared" si="59"/>
        <v>111043699.73999999</v>
      </c>
      <c r="W83" s="123">
        <v>51639122</v>
      </c>
      <c r="X83" s="121">
        <f t="shared" si="60"/>
        <v>59404577.740000002</v>
      </c>
      <c r="Y83" s="81">
        <v>0</v>
      </c>
      <c r="Z83" s="125">
        <f t="shared" si="61"/>
        <v>59404577.740000002</v>
      </c>
      <c r="AA83" s="123">
        <f>VLOOKUP($E83,'2.จัดสรรหลังSK'!$E$4:$Y$98,21,FALSE)</f>
        <v>56581134.960000001</v>
      </c>
      <c r="AB83" s="9">
        <f t="shared" si="62"/>
        <v>2823442.78</v>
      </c>
      <c r="AC83" s="126" t="str">
        <f t="shared" si="63"/>
        <v>ผ่าน</v>
      </c>
      <c r="AD83" s="128"/>
      <c r="AE83" s="123">
        <f t="shared" si="64"/>
        <v>59404577.740000002</v>
      </c>
      <c r="AF83" s="128"/>
      <c r="AG83" s="128"/>
      <c r="AH83" s="123">
        <f t="shared" si="65"/>
        <v>0</v>
      </c>
      <c r="AI83" s="123">
        <f t="shared" si="66"/>
        <v>59404577.740000002</v>
      </c>
      <c r="AJ83" s="123">
        <f t="shared" si="67"/>
        <v>59404577.740000002</v>
      </c>
    </row>
    <row r="84" spans="1:36" s="127" customFormat="1" ht="14.25" customHeight="1" outlineLevel="2">
      <c r="A84" s="119">
        <v>567</v>
      </c>
      <c r="B84" s="120" t="s">
        <v>26</v>
      </c>
      <c r="C84" s="120" t="s">
        <v>153</v>
      </c>
      <c r="D84" s="120" t="s">
        <v>154</v>
      </c>
      <c r="E84" s="120" t="s">
        <v>177</v>
      </c>
      <c r="F84" s="120" t="s">
        <v>178</v>
      </c>
      <c r="G84" s="121">
        <v>1.3</v>
      </c>
      <c r="H84" s="89"/>
      <c r="I84" s="80">
        <f t="shared" si="33"/>
        <v>1.3</v>
      </c>
      <c r="J84" s="122">
        <v>26548</v>
      </c>
      <c r="K84" s="123">
        <f>VLOOKUP($E84,'2.จัดสรรหลังSK'!$E$4:$Y$98,5,FALSE)</f>
        <v>1416.7637302244989</v>
      </c>
      <c r="L84" s="123">
        <f>VLOOKUP($E84,'2.จัดสรรหลังSK'!$E$4:$Y$98,6,FALSE)</f>
        <v>283.7107292451409</v>
      </c>
      <c r="M84" s="124">
        <v>1494.0741</v>
      </c>
      <c r="N84" s="124">
        <v>23.474</v>
      </c>
      <c r="O84" s="124">
        <v>0</v>
      </c>
      <c r="P84" s="121">
        <f t="shared" si="34"/>
        <v>7042.3751743800949</v>
      </c>
      <c r="Q84" s="121">
        <f>VLOOKUP($E84,'2.จัดสรรหลังSK'!$E$4:$Y$98,11,FALSE)</f>
        <v>37612243.509999998</v>
      </c>
      <c r="R84" s="121">
        <f>VLOOKUP($E84,'2.จัดสรรหลังSK'!$E$4:$Y$98,12,FALSE)</f>
        <v>7531952.4400000004</v>
      </c>
      <c r="S84" s="80">
        <f>IF($H$105&lt;&gt;0,ROUND(ROUND(M84*I84,4)*P84,2),VLOOKUP($E84,'2.จัดสรรหลังSK'!$E$4:$Q$98,13,FALSE))</f>
        <v>13678379.24</v>
      </c>
      <c r="T84" s="121">
        <f>VLOOKUP($E84,'2.จัดสรรหลังSK'!$E$4:$Y$98,14,FALSE)</f>
        <v>225350.39999999999</v>
      </c>
      <c r="U84" s="121">
        <f>VLOOKUP($E84,'2.จัดสรรหลังSK'!$E$4:$Y$98,15,FALSE)</f>
        <v>0</v>
      </c>
      <c r="V84" s="123">
        <f t="shared" si="59"/>
        <v>59047925.589999996</v>
      </c>
      <c r="W84" s="123">
        <v>22407772</v>
      </c>
      <c r="X84" s="121">
        <f t="shared" si="60"/>
        <v>36640153.590000004</v>
      </c>
      <c r="Y84" s="81">
        <v>0</v>
      </c>
      <c r="Z84" s="125">
        <f t="shared" si="61"/>
        <v>36640153.590000004</v>
      </c>
      <c r="AA84" s="123">
        <f>VLOOKUP($E84,'2.จัดสรรหลังSK'!$E$4:$Y$98,21,FALSE)</f>
        <v>33098678.140000001</v>
      </c>
      <c r="AB84" s="9">
        <f t="shared" si="62"/>
        <v>3541475.45</v>
      </c>
      <c r="AC84" s="126" t="str">
        <f t="shared" si="63"/>
        <v>ผ่าน</v>
      </c>
      <c r="AD84" s="128"/>
      <c r="AE84" s="123">
        <f t="shared" si="64"/>
        <v>36640153.590000004</v>
      </c>
      <c r="AF84" s="128"/>
      <c r="AG84" s="128"/>
      <c r="AH84" s="123">
        <f t="shared" si="65"/>
        <v>0</v>
      </c>
      <c r="AI84" s="123">
        <f t="shared" si="66"/>
        <v>36640153.590000004</v>
      </c>
      <c r="AJ84" s="123">
        <f t="shared" si="67"/>
        <v>36640153.590000004</v>
      </c>
    </row>
    <row r="85" spans="1:36" s="127" customFormat="1" ht="14.25" customHeight="1" outlineLevel="2">
      <c r="A85" s="119">
        <v>568</v>
      </c>
      <c r="B85" s="120" t="s">
        <v>26</v>
      </c>
      <c r="C85" s="120" t="s">
        <v>153</v>
      </c>
      <c r="D85" s="120" t="s">
        <v>154</v>
      </c>
      <c r="E85" s="120" t="s">
        <v>179</v>
      </c>
      <c r="F85" s="120" t="s">
        <v>180</v>
      </c>
      <c r="G85" s="121">
        <v>1.35</v>
      </c>
      <c r="H85" s="89"/>
      <c r="I85" s="80">
        <f t="shared" si="33"/>
        <v>1.35</v>
      </c>
      <c r="J85" s="122">
        <v>17941</v>
      </c>
      <c r="K85" s="123">
        <f>VLOOKUP($E85,'2.จัดสรรหลังSK'!$E$4:$Y$98,5,FALSE)</f>
        <v>1504.9383222785798</v>
      </c>
      <c r="L85" s="123">
        <f>VLOOKUP($E85,'2.จัดสรรหลังSK'!$E$4:$Y$98,6,FALSE)</f>
        <v>301.36792765174738</v>
      </c>
      <c r="M85" s="124">
        <v>1129.8635999999999</v>
      </c>
      <c r="N85" s="124">
        <v>58.882899999999999</v>
      </c>
      <c r="O85" s="124">
        <v>0</v>
      </c>
      <c r="P85" s="121">
        <f t="shared" si="34"/>
        <v>7042.3751743800949</v>
      </c>
      <c r="Q85" s="121">
        <f>VLOOKUP($E85,'2.จัดสรรหลังSK'!$E$4:$Y$98,11,FALSE)</f>
        <v>27000098.440000001</v>
      </c>
      <c r="R85" s="121">
        <f>VLOOKUP($E85,'2.จัดสรรหลังSK'!$E$4:$Y$98,12,FALSE)</f>
        <v>5406841.9900000002</v>
      </c>
      <c r="S85" s="80">
        <f>IF($H$105&lt;&gt;0,ROUND(ROUND(M85*I85,4)*P85,2),VLOOKUP($E85,'2.จัดสรรหลังSK'!$E$4:$Q$98,13,FALSE))</f>
        <v>10741846.82</v>
      </c>
      <c r="T85" s="121">
        <f>VLOOKUP($E85,'2.จัดสรรหลังSK'!$E$4:$Y$98,14,FALSE)</f>
        <v>565275.84</v>
      </c>
      <c r="U85" s="121">
        <f>VLOOKUP($E85,'2.จัดสรรหลังSK'!$E$4:$Y$98,15,FALSE)</f>
        <v>0</v>
      </c>
      <c r="V85" s="123">
        <f t="shared" si="59"/>
        <v>43714063.090000004</v>
      </c>
      <c r="W85" s="123">
        <v>21559567</v>
      </c>
      <c r="X85" s="121">
        <f t="shared" si="60"/>
        <v>22154496.09</v>
      </c>
      <c r="Y85" s="81">
        <v>0</v>
      </c>
      <c r="Z85" s="125">
        <f t="shared" si="61"/>
        <v>22154496.09</v>
      </c>
      <c r="AA85" s="123">
        <f>VLOOKUP($E85,'2.จัดสรรหลังSK'!$E$4:$Y$98,21,FALSE)</f>
        <v>20859686.780000001</v>
      </c>
      <c r="AB85" s="9">
        <f t="shared" si="62"/>
        <v>1294809.31</v>
      </c>
      <c r="AC85" s="126" t="str">
        <f t="shared" si="63"/>
        <v>ผ่าน</v>
      </c>
      <c r="AD85" s="128"/>
      <c r="AE85" s="123">
        <f t="shared" si="64"/>
        <v>22154496.09</v>
      </c>
      <c r="AF85" s="128"/>
      <c r="AG85" s="128"/>
      <c r="AH85" s="123">
        <f t="shared" si="65"/>
        <v>0</v>
      </c>
      <c r="AI85" s="123">
        <f t="shared" si="66"/>
        <v>22154496.09</v>
      </c>
      <c r="AJ85" s="123">
        <f t="shared" si="67"/>
        <v>22154496.09</v>
      </c>
    </row>
    <row r="86" spans="1:36" s="127" customFormat="1" ht="14.25" customHeight="1" outlineLevel="2">
      <c r="A86" s="119">
        <v>569</v>
      </c>
      <c r="B86" s="120" t="s">
        <v>26</v>
      </c>
      <c r="C86" s="120" t="s">
        <v>153</v>
      </c>
      <c r="D86" s="120" t="s">
        <v>154</v>
      </c>
      <c r="E86" s="120" t="s">
        <v>181</v>
      </c>
      <c r="F86" s="120" t="s">
        <v>182</v>
      </c>
      <c r="G86" s="121">
        <v>1.3</v>
      </c>
      <c r="H86" s="89"/>
      <c r="I86" s="80">
        <f t="shared" si="33"/>
        <v>1.3</v>
      </c>
      <c r="J86" s="122">
        <v>24830</v>
      </c>
      <c r="K86" s="123">
        <f>VLOOKUP($E86,'2.จัดสรรหลังSK'!$E$4:$Y$98,5,FALSE)</f>
        <v>1432.2998316552557</v>
      </c>
      <c r="L86" s="123">
        <f>VLOOKUP($E86,'2.จัดสรรหลังSK'!$E$4:$Y$98,6,FALSE)</f>
        <v>286.82187515102697</v>
      </c>
      <c r="M86" s="124">
        <v>1659.4283</v>
      </c>
      <c r="N86" s="124">
        <v>32.650300000000001</v>
      </c>
      <c r="O86" s="124">
        <v>0</v>
      </c>
      <c r="P86" s="121">
        <f t="shared" si="34"/>
        <v>7042.3751743800949</v>
      </c>
      <c r="Q86" s="121">
        <f>VLOOKUP($E86,'2.จัดสรรหลังSK'!$E$4:$Y$98,11,FALSE)</f>
        <v>35564004.82</v>
      </c>
      <c r="R86" s="121">
        <f>VLOOKUP($E86,'2.จัดสรรหลังSK'!$E$4:$Y$98,12,FALSE)</f>
        <v>7121787.1600000001</v>
      </c>
      <c r="S86" s="80">
        <f>IF($H$105&lt;&gt;0,ROUND(ROUND(M86*I86,4)*P86,2),VLOOKUP($E86,'2.จัดสรรหลังSK'!$E$4:$Q$98,13,FALSE))</f>
        <v>15192211.720000001</v>
      </c>
      <c r="T86" s="121">
        <f>VLOOKUP($E86,'2.จัดสรรหลังSK'!$E$4:$Y$98,14,FALSE)</f>
        <v>313442.88</v>
      </c>
      <c r="U86" s="121">
        <f>VLOOKUP($E86,'2.จัดสรรหลังSK'!$E$4:$Y$98,15,FALSE)</f>
        <v>0</v>
      </c>
      <c r="V86" s="123">
        <f t="shared" si="59"/>
        <v>58191446.580000006</v>
      </c>
      <c r="W86" s="123">
        <v>31182818</v>
      </c>
      <c r="X86" s="121">
        <f t="shared" si="60"/>
        <v>27008628.579999998</v>
      </c>
      <c r="Y86" s="81">
        <v>1296005.8700000001</v>
      </c>
      <c r="Z86" s="125">
        <f t="shared" si="61"/>
        <v>28304634.449999999</v>
      </c>
      <c r="AA86" s="123">
        <f>VLOOKUP($E86,'2.จัดสรรหลังSK'!$E$4:$Y$98,21,FALSE)</f>
        <v>28304634.449999999</v>
      </c>
      <c r="AB86" s="9">
        <f t="shared" si="62"/>
        <v>0</v>
      </c>
      <c r="AC86" s="126" t="str">
        <f t="shared" si="63"/>
        <v>ผ่าน</v>
      </c>
      <c r="AD86" s="128"/>
      <c r="AE86" s="123">
        <f t="shared" si="64"/>
        <v>28304634.449999999</v>
      </c>
      <c r="AF86" s="128"/>
      <c r="AG86" s="128"/>
      <c r="AH86" s="123">
        <f t="shared" si="65"/>
        <v>0</v>
      </c>
      <c r="AI86" s="123">
        <f t="shared" si="66"/>
        <v>28304634.449999999</v>
      </c>
      <c r="AJ86" s="123">
        <f t="shared" si="67"/>
        <v>28304634.449999999</v>
      </c>
    </row>
    <row r="87" spans="1:36" s="127" customFormat="1" ht="14.25" customHeight="1" outlineLevel="2">
      <c r="A87" s="119">
        <v>570</v>
      </c>
      <c r="B87" s="120" t="s">
        <v>26</v>
      </c>
      <c r="C87" s="120" t="s">
        <v>153</v>
      </c>
      <c r="D87" s="120" t="s">
        <v>154</v>
      </c>
      <c r="E87" s="120" t="s">
        <v>183</v>
      </c>
      <c r="F87" s="120" t="s">
        <v>184</v>
      </c>
      <c r="G87" s="121">
        <v>1.25</v>
      </c>
      <c r="H87" s="89"/>
      <c r="I87" s="80">
        <f t="shared" si="33"/>
        <v>1.25</v>
      </c>
      <c r="J87" s="122">
        <v>33198</v>
      </c>
      <c r="K87" s="123">
        <f>VLOOKUP($E87,'2.จัดสรรหลังSK'!$E$4:$Y$98,5,FALSE)</f>
        <v>1355.3783167660702</v>
      </c>
      <c r="L87" s="123">
        <f>VLOOKUP($E87,'2.จัดสรรหลังSK'!$E$4:$Y$98,6,FALSE)</f>
        <v>271.4181360322911</v>
      </c>
      <c r="M87" s="124">
        <v>1213.3333</v>
      </c>
      <c r="N87" s="124">
        <v>24.559200000000001</v>
      </c>
      <c r="O87" s="124">
        <v>0</v>
      </c>
      <c r="P87" s="121">
        <f t="shared" si="34"/>
        <v>7042.3751743800949</v>
      </c>
      <c r="Q87" s="121">
        <f>VLOOKUP($E87,'2.จัดสรรหลังSK'!$E$4:$Y$98,11,FALSE)</f>
        <v>44995849.359999999</v>
      </c>
      <c r="R87" s="121">
        <f>VLOOKUP($E87,'2.จัดสรรหลังSK'!$E$4:$Y$98,12,FALSE)</f>
        <v>9010539.2799999993</v>
      </c>
      <c r="S87" s="80">
        <f>IF($H$105&lt;&gt;0,ROUND(ROUND(M87*I87,4)*P87,2),VLOOKUP($E87,'2.จัดสรรหลังSK'!$E$4:$Q$98,13,FALSE))</f>
        <v>10680935.210000001</v>
      </c>
      <c r="T87" s="121">
        <f>VLOOKUP($E87,'2.จัดสรรหลังSK'!$E$4:$Y$98,14,FALSE)</f>
        <v>235768.32000000001</v>
      </c>
      <c r="U87" s="121">
        <f>VLOOKUP($E87,'2.จัดสรรหลังSK'!$E$4:$Y$98,15,FALSE)</f>
        <v>0</v>
      </c>
      <c r="V87" s="123">
        <f t="shared" si="59"/>
        <v>64923092.170000002</v>
      </c>
      <c r="W87" s="123">
        <v>25151893</v>
      </c>
      <c r="X87" s="121">
        <f t="shared" si="60"/>
        <v>39771199.170000002</v>
      </c>
      <c r="Y87" s="81">
        <v>0</v>
      </c>
      <c r="Z87" s="125">
        <f t="shared" si="61"/>
        <v>39771199.170000002</v>
      </c>
      <c r="AA87" s="123">
        <f>VLOOKUP($E87,'2.จัดสรรหลังSK'!$E$4:$Y$98,21,FALSE)</f>
        <v>36874172.780000001</v>
      </c>
      <c r="AB87" s="9">
        <f t="shared" si="62"/>
        <v>2897026.39</v>
      </c>
      <c r="AC87" s="126" t="str">
        <f t="shared" si="63"/>
        <v>ผ่าน</v>
      </c>
      <c r="AD87" s="128"/>
      <c r="AE87" s="123">
        <f t="shared" si="64"/>
        <v>39771199.170000002</v>
      </c>
      <c r="AF87" s="128"/>
      <c r="AG87" s="128"/>
      <c r="AH87" s="123">
        <f t="shared" si="65"/>
        <v>0</v>
      </c>
      <c r="AI87" s="123">
        <f t="shared" si="66"/>
        <v>39771199.170000002</v>
      </c>
      <c r="AJ87" s="123">
        <f t="shared" si="67"/>
        <v>39771199.170000002</v>
      </c>
    </row>
    <row r="88" spans="1:36" s="127" customFormat="1" ht="14.25" customHeight="1" outlineLevel="2">
      <c r="A88" s="119">
        <v>571</v>
      </c>
      <c r="B88" s="120" t="s">
        <v>26</v>
      </c>
      <c r="C88" s="120" t="s">
        <v>153</v>
      </c>
      <c r="D88" s="120" t="s">
        <v>154</v>
      </c>
      <c r="E88" s="120" t="s">
        <v>185</v>
      </c>
      <c r="F88" s="120" t="s">
        <v>186</v>
      </c>
      <c r="G88" s="121">
        <v>1.3</v>
      </c>
      <c r="H88" s="89"/>
      <c r="I88" s="80">
        <f t="shared" si="33"/>
        <v>1.3</v>
      </c>
      <c r="J88" s="122">
        <v>28207</v>
      </c>
      <c r="K88" s="123">
        <f>VLOOKUP($E88,'2.จัดสรรหลังSK'!$E$4:$Y$98,5,FALSE)</f>
        <v>1403.5573109511824</v>
      </c>
      <c r="L88" s="123">
        <f>VLOOKUP($E88,'2.จัดสรรหลังSK'!$E$4:$Y$98,6,FALSE)</f>
        <v>281.06610841280531</v>
      </c>
      <c r="M88" s="124">
        <v>1427.8164999999999</v>
      </c>
      <c r="N88" s="124">
        <v>17.187799999999999</v>
      </c>
      <c r="O88" s="124">
        <v>1.9117999999999999</v>
      </c>
      <c r="P88" s="121">
        <f t="shared" si="34"/>
        <v>7042.3751743800949</v>
      </c>
      <c r="Q88" s="121">
        <f>VLOOKUP($E88,'2.จัดสรรหลังSK'!$E$4:$Y$98,11,FALSE)</f>
        <v>39590141.07</v>
      </c>
      <c r="R88" s="121">
        <f>VLOOKUP($E88,'2.จัดสรรหลังSK'!$E$4:$Y$98,12,FALSE)</f>
        <v>7928031.7199999997</v>
      </c>
      <c r="S88" s="80">
        <f>IF($H$105&lt;&gt;0,ROUND(ROUND(M88*I88,4)*P88,2),VLOOKUP($E88,'2.จัดสรรหลังSK'!$E$4:$Q$98,13,FALSE))</f>
        <v>13071785.66</v>
      </c>
      <c r="T88" s="121">
        <f>VLOOKUP($E88,'2.จัดสรรหลังSK'!$E$4:$Y$98,14,FALSE)</f>
        <v>165002.88</v>
      </c>
      <c r="U88" s="121">
        <f>VLOOKUP($E88,'2.จัดสรรหลังSK'!$E$4:$Y$98,15,FALSE)</f>
        <v>17206.2</v>
      </c>
      <c r="V88" s="123">
        <f t="shared" si="59"/>
        <v>60772167.530000009</v>
      </c>
      <c r="W88" s="123">
        <v>22229526</v>
      </c>
      <c r="X88" s="121">
        <f t="shared" si="60"/>
        <v>38542641.530000001</v>
      </c>
      <c r="Y88" s="81">
        <v>0</v>
      </c>
      <c r="Z88" s="125">
        <f t="shared" si="61"/>
        <v>38542641.530000001</v>
      </c>
      <c r="AA88" s="123">
        <f>VLOOKUP($E88,'2.จัดสรรหลังSK'!$E$4:$Y$98,21,FALSE)</f>
        <v>36690893.68</v>
      </c>
      <c r="AB88" s="9">
        <f t="shared" si="62"/>
        <v>1851747.85</v>
      </c>
      <c r="AC88" s="126" t="str">
        <f t="shared" si="63"/>
        <v>ผ่าน</v>
      </c>
      <c r="AD88" s="128"/>
      <c r="AE88" s="123">
        <f t="shared" si="64"/>
        <v>38542641.530000001</v>
      </c>
      <c r="AF88" s="128"/>
      <c r="AG88" s="128"/>
      <c r="AH88" s="123">
        <f t="shared" si="65"/>
        <v>0</v>
      </c>
      <c r="AI88" s="123">
        <f t="shared" si="66"/>
        <v>38542641.530000001</v>
      </c>
      <c r="AJ88" s="123">
        <f t="shared" si="67"/>
        <v>38542641.530000001</v>
      </c>
    </row>
    <row r="89" spans="1:36" s="127" customFormat="1" ht="14.25" customHeight="1" outlineLevel="2">
      <c r="A89" s="119">
        <v>572</v>
      </c>
      <c r="B89" s="120" t="s">
        <v>26</v>
      </c>
      <c r="C89" s="120" t="s">
        <v>153</v>
      </c>
      <c r="D89" s="120" t="s">
        <v>154</v>
      </c>
      <c r="E89" s="120" t="s">
        <v>187</v>
      </c>
      <c r="F89" s="120" t="s">
        <v>188</v>
      </c>
      <c r="G89" s="121">
        <v>1.1499999999999999</v>
      </c>
      <c r="H89" s="89"/>
      <c r="I89" s="80">
        <f t="shared" si="33"/>
        <v>1.1499999999999999</v>
      </c>
      <c r="J89" s="122">
        <v>114215</v>
      </c>
      <c r="K89" s="123">
        <f>VLOOKUP($E89,'2.จัดสรรหลังSK'!$E$4:$Y$98,5,FALSE)</f>
        <v>986.38108076872561</v>
      </c>
      <c r="L89" s="123">
        <f>VLOOKUP($E89,'2.จัดสรรหลังSK'!$E$4:$Y$98,6,FALSE)</f>
        <v>197.52545164820734</v>
      </c>
      <c r="M89" s="124">
        <v>12707.294400000001</v>
      </c>
      <c r="N89" s="124">
        <v>266.36020000000002</v>
      </c>
      <c r="O89" s="124">
        <v>277.48110000000003</v>
      </c>
      <c r="P89" s="121">
        <f t="shared" si="34"/>
        <v>7042.3751743800949</v>
      </c>
      <c r="Q89" s="121">
        <f>VLOOKUP($E89,'2.จัดสรรหลังSK'!$E$4:$Y$98,11,FALSE)</f>
        <v>112659515.14</v>
      </c>
      <c r="R89" s="121">
        <f>VLOOKUP($E89,'2.จัดสรรหลังSK'!$E$4:$Y$98,12,FALSE)</f>
        <v>22560369.460000001</v>
      </c>
      <c r="S89" s="80">
        <f>IF($H$105&lt;&gt;0,ROUND(ROUND(M89*I89,4)*P89,2),VLOOKUP($E89,'2.จัดสรรหลังSK'!$E$4:$Q$98,13,FALSE))</f>
        <v>102912965.03</v>
      </c>
      <c r="T89" s="121">
        <f>VLOOKUP($E89,'2.จัดสรรหลังSK'!$E$4:$Y$98,14,FALSE)</f>
        <v>2557057.92</v>
      </c>
      <c r="U89" s="121">
        <f>VLOOKUP($E89,'2.จัดสรรหลังSK'!$E$4:$Y$98,15,FALSE)</f>
        <v>2497329.9</v>
      </c>
      <c r="V89" s="123">
        <f t="shared" si="59"/>
        <v>243187237.44999999</v>
      </c>
      <c r="W89" s="123">
        <v>109859571</v>
      </c>
      <c r="X89" s="121">
        <f t="shared" si="60"/>
        <v>133327666.45</v>
      </c>
      <c r="Y89" s="81">
        <v>27810456.699999999</v>
      </c>
      <c r="Z89" s="125">
        <f t="shared" si="61"/>
        <v>161138123.15000001</v>
      </c>
      <c r="AA89" s="123">
        <f>VLOOKUP($E89,'2.จัดสรรหลังSK'!$E$4:$Y$98,21,FALSE)</f>
        <v>161138123.15000001</v>
      </c>
      <c r="AB89" s="9">
        <f t="shared" si="62"/>
        <v>0</v>
      </c>
      <c r="AC89" s="126" t="str">
        <f t="shared" si="63"/>
        <v>ผ่าน</v>
      </c>
      <c r="AD89" s="128"/>
      <c r="AE89" s="123">
        <f t="shared" si="64"/>
        <v>161138123.15000001</v>
      </c>
      <c r="AF89" s="128"/>
      <c r="AG89" s="128"/>
      <c r="AH89" s="123">
        <f t="shared" si="65"/>
        <v>0</v>
      </c>
      <c r="AI89" s="123">
        <f t="shared" si="66"/>
        <v>161138123.15000001</v>
      </c>
      <c r="AJ89" s="123">
        <f t="shared" si="67"/>
        <v>161138123.15000001</v>
      </c>
    </row>
    <row r="90" spans="1:36" s="127" customFormat="1" ht="14.25" customHeight="1" outlineLevel="2">
      <c r="A90" s="119">
        <v>573</v>
      </c>
      <c r="B90" s="120" t="s">
        <v>26</v>
      </c>
      <c r="C90" s="120" t="s">
        <v>153</v>
      </c>
      <c r="D90" s="120" t="s">
        <v>154</v>
      </c>
      <c r="E90" s="120" t="s">
        <v>189</v>
      </c>
      <c r="F90" s="120" t="s">
        <v>190</v>
      </c>
      <c r="G90" s="121">
        <v>1.3</v>
      </c>
      <c r="H90" s="89"/>
      <c r="I90" s="80">
        <f t="shared" si="33"/>
        <v>1.3</v>
      </c>
      <c r="J90" s="122">
        <v>28522</v>
      </c>
      <c r="K90" s="123">
        <f>VLOOKUP($E90,'2.จัดสรรหลังSK'!$E$4:$Y$98,5,FALSE)</f>
        <v>1401.2233093752191</v>
      </c>
      <c r="L90" s="123">
        <f>VLOOKUP($E90,'2.จัดสรรหลังSK'!$E$4:$Y$98,6,FALSE)</f>
        <v>280.5987185330622</v>
      </c>
      <c r="M90" s="124">
        <v>907.36059999999998</v>
      </c>
      <c r="N90" s="124">
        <v>28.359000000000002</v>
      </c>
      <c r="O90" s="124">
        <v>0</v>
      </c>
      <c r="P90" s="121">
        <f t="shared" si="34"/>
        <v>7042.3751743800949</v>
      </c>
      <c r="Q90" s="121">
        <f>VLOOKUP($E90,'2.จัดสรรหลังSK'!$E$4:$Y$98,11,FALSE)</f>
        <v>39965691.229999997</v>
      </c>
      <c r="R90" s="121">
        <f>VLOOKUP($E90,'2.จัดสรรหลังSK'!$E$4:$Y$98,12,FALSE)</f>
        <v>8003236.6500000004</v>
      </c>
      <c r="S90" s="80">
        <f>IF($H$105&lt;&gt;0,ROUND(ROUND(M90*I90,4)*P90,2),VLOOKUP($E90,'2.จัดสรรหลังSK'!$E$4:$Q$98,13,FALSE))</f>
        <v>8306966.0300000003</v>
      </c>
      <c r="T90" s="121">
        <f>VLOOKUP($E90,'2.จัดสรรหลังSK'!$E$4:$Y$98,14,FALSE)</f>
        <v>272246.40000000002</v>
      </c>
      <c r="U90" s="121">
        <f>VLOOKUP($E90,'2.จัดสรรหลังSK'!$E$4:$Y$98,15,FALSE)</f>
        <v>0</v>
      </c>
      <c r="V90" s="123">
        <f t="shared" si="59"/>
        <v>56548140.309999995</v>
      </c>
      <c r="W90" s="123">
        <v>21853931</v>
      </c>
      <c r="X90" s="121">
        <f t="shared" si="60"/>
        <v>34694209.310000002</v>
      </c>
      <c r="Y90" s="81">
        <v>0</v>
      </c>
      <c r="Z90" s="125">
        <f t="shared" si="61"/>
        <v>34694209.310000002</v>
      </c>
      <c r="AA90" s="123">
        <f>VLOOKUP($E90,'2.จัดสรรหลังSK'!$E$4:$Y$98,21,FALSE)</f>
        <v>31609200.859999999</v>
      </c>
      <c r="AB90" s="9">
        <f t="shared" si="62"/>
        <v>3085008.45</v>
      </c>
      <c r="AC90" s="126" t="str">
        <f t="shared" si="63"/>
        <v>ผ่าน</v>
      </c>
      <c r="AD90" s="128"/>
      <c r="AE90" s="123">
        <f t="shared" si="64"/>
        <v>34694209.310000002</v>
      </c>
      <c r="AF90" s="128"/>
      <c r="AG90" s="128"/>
      <c r="AH90" s="123">
        <f t="shared" si="65"/>
        <v>0</v>
      </c>
      <c r="AI90" s="123">
        <f t="shared" si="66"/>
        <v>34694209.310000002</v>
      </c>
      <c r="AJ90" s="123">
        <f t="shared" si="67"/>
        <v>34694209.310000002</v>
      </c>
    </row>
    <row r="91" spans="1:36" s="127" customFormat="1" ht="14.25" customHeight="1" outlineLevel="1">
      <c r="A91" s="180"/>
      <c r="B91" s="181"/>
      <c r="C91" s="155"/>
      <c r="D91" s="182" t="s">
        <v>284</v>
      </c>
      <c r="E91" s="181"/>
      <c r="F91" s="181"/>
      <c r="G91" s="183"/>
      <c r="H91" s="184"/>
      <c r="I91" s="185"/>
      <c r="J91" s="186">
        <f>SUBTOTAL(9,J73:J90)</f>
        <v>850320</v>
      </c>
      <c r="K91" s="187"/>
      <c r="L91" s="187"/>
      <c r="M91" s="188">
        <f t="shared" ref="M91:AB91" si="68">SUBTOTAL(9,M73:M90)</f>
        <v>116713.70759999998</v>
      </c>
      <c r="N91" s="188">
        <f t="shared" si="68"/>
        <v>2751.2419000000004</v>
      </c>
      <c r="O91" s="188">
        <f t="shared" si="68"/>
        <v>3805.1668999999997</v>
      </c>
      <c r="P91" s="183"/>
      <c r="Q91" s="183">
        <f t="shared" si="68"/>
        <v>1004767996.7900002</v>
      </c>
      <c r="R91" s="183">
        <f t="shared" si="68"/>
        <v>201207480.84000003</v>
      </c>
      <c r="S91" s="185">
        <f t="shared" si="68"/>
        <v>913093219.18000019</v>
      </c>
      <c r="T91" s="183">
        <f t="shared" si="68"/>
        <v>26411922.239999987</v>
      </c>
      <c r="U91" s="183">
        <f t="shared" si="68"/>
        <v>34246502.100000001</v>
      </c>
      <c r="V91" s="187">
        <f t="shared" si="68"/>
        <v>2179727121.1500001</v>
      </c>
      <c r="W91" s="187">
        <f t="shared" si="68"/>
        <v>969813526</v>
      </c>
      <c r="X91" s="183">
        <f t="shared" si="68"/>
        <v>1209913595.1499999</v>
      </c>
      <c r="Y91" s="183">
        <f t="shared" si="68"/>
        <v>34097925</v>
      </c>
      <c r="Z91" s="189">
        <f t="shared" si="68"/>
        <v>1244011520.1499999</v>
      </c>
      <c r="AA91" s="187">
        <f t="shared" si="68"/>
        <v>1160490527.4400001</v>
      </c>
      <c r="AB91" s="190">
        <f t="shared" si="68"/>
        <v>83520992.709999993</v>
      </c>
      <c r="AC91" s="191"/>
      <c r="AD91" s="192">
        <f t="shared" ref="AD91:AJ91" si="69">SUBTOTAL(9,AD73:AD90)</f>
        <v>0</v>
      </c>
      <c r="AE91" s="187">
        <f t="shared" si="69"/>
        <v>1244011520.1499999</v>
      </c>
      <c r="AF91" s="192">
        <f t="shared" si="69"/>
        <v>0</v>
      </c>
      <c r="AG91" s="192">
        <f t="shared" si="69"/>
        <v>0</v>
      </c>
      <c r="AH91" s="187">
        <f t="shared" si="69"/>
        <v>0</v>
      </c>
      <c r="AI91" s="187">
        <f t="shared" si="69"/>
        <v>1244011520.1499999</v>
      </c>
      <c r="AJ91" s="187">
        <f t="shared" si="69"/>
        <v>1244011520.1499999</v>
      </c>
    </row>
    <row r="92" spans="1:36" s="127" customFormat="1" ht="14.25" customHeight="1" outlineLevel="2">
      <c r="A92" s="156">
        <v>574</v>
      </c>
      <c r="B92" s="157" t="s">
        <v>26</v>
      </c>
      <c r="C92" s="120" t="s">
        <v>191</v>
      </c>
      <c r="D92" s="157" t="s">
        <v>192</v>
      </c>
      <c r="E92" s="157" t="s">
        <v>193</v>
      </c>
      <c r="F92" s="157" t="s">
        <v>194</v>
      </c>
      <c r="G92" s="158">
        <v>1.1000000000000001</v>
      </c>
      <c r="H92" s="159"/>
      <c r="I92" s="160">
        <f t="shared" si="33"/>
        <v>1.1000000000000001</v>
      </c>
      <c r="J92" s="161">
        <v>109113</v>
      </c>
      <c r="K92" s="162">
        <f>VLOOKUP($E92,'2.จัดสรรหลังSK'!$E$4:$Y$98,5,FALSE)</f>
        <v>999.05188236048878</v>
      </c>
      <c r="L92" s="162">
        <f>VLOOKUP($E92,'2.จัดสรรหลังSK'!$E$4:$Y$98,6,FALSE)</f>
        <v>199.29685317056629</v>
      </c>
      <c r="M92" s="163">
        <v>25516.167799999999</v>
      </c>
      <c r="N92" s="163">
        <v>671.09690000000001</v>
      </c>
      <c r="O92" s="163">
        <v>714.05830000000003</v>
      </c>
      <c r="P92" s="158">
        <f t="shared" si="34"/>
        <v>7042.3751743800949</v>
      </c>
      <c r="Q92" s="158">
        <f>VLOOKUP($E92,'2.จัดสรรหลังSK'!$E$4:$Y$98,11,FALSE)</f>
        <v>109009548.04000001</v>
      </c>
      <c r="R92" s="158">
        <f>VLOOKUP($E92,'2.จัดสรรหลังSK'!$E$4:$Y$98,12,FALSE)</f>
        <v>21745877.539999999</v>
      </c>
      <c r="S92" s="160">
        <f>IF($H$105&lt;&gt;0,ROUND(ROUND(M92*I92,4)*P92,2),VLOOKUP($E92,'2.จัดสรรหลังSK'!$E$4:$Q$98,13,FALSE))</f>
        <v>197663869.36000001</v>
      </c>
      <c r="T92" s="158">
        <f>VLOOKUP($E92,'2.จัดสรรหลังSK'!$E$4:$Y$98,14,FALSE)</f>
        <v>6442530.2400000002</v>
      </c>
      <c r="U92" s="158">
        <f>VLOOKUP($E92,'2.จัดสรรหลังSK'!$E$4:$Y$98,15,FALSE)</f>
        <v>6426524.7000000002</v>
      </c>
      <c r="V92" s="162">
        <f t="shared" ref="V92:V103" si="70">SUM(Q92:U92)</f>
        <v>341288349.88000005</v>
      </c>
      <c r="W92" s="162">
        <v>205387946</v>
      </c>
      <c r="X92" s="158">
        <f t="shared" ref="X92:X103" si="71">ROUND(V92-W92,2)</f>
        <v>135900403.88</v>
      </c>
      <c r="Y92" s="164">
        <v>0</v>
      </c>
      <c r="Z92" s="165">
        <f t="shared" ref="Z92:Z103" si="72">ROUND(X92+Y92,2)</f>
        <v>135900403.88</v>
      </c>
      <c r="AA92" s="162">
        <f>VLOOKUP($E92,'2.จัดสรรหลังSK'!$E$4:$Y$98,21,FALSE)</f>
        <v>128746308.27</v>
      </c>
      <c r="AB92" s="166">
        <f t="shared" ref="AB92:AB103" si="73">ROUND(Z92-AA92,2)</f>
        <v>7154095.6100000003</v>
      </c>
      <c r="AC92" s="167" t="str">
        <f t="shared" ref="AC92:AC103" si="74">IF(Z92&gt;=AA92,"ผ่าน","ไม่ผ่าน")</f>
        <v>ผ่าน</v>
      </c>
      <c r="AD92" s="168"/>
      <c r="AE92" s="162">
        <f t="shared" ref="AE92:AE103" si="75">ROUND(Z92+AD92,2)</f>
        <v>135900403.88</v>
      </c>
      <c r="AF92" s="168"/>
      <c r="AG92" s="168"/>
      <c r="AH92" s="162">
        <f t="shared" ref="AH92:AH103" si="76">ROUND(AF92+AG92,2)</f>
        <v>0</v>
      </c>
      <c r="AI92" s="162">
        <f t="shared" ref="AI92:AI103" si="77">ROUND(Z92-AH92,2)</f>
        <v>135900403.88</v>
      </c>
      <c r="AJ92" s="162">
        <f t="shared" ref="AJ92:AJ103" si="78">ROUND(AE92-AH92,2)</f>
        <v>135900403.88</v>
      </c>
    </row>
    <row r="93" spans="1:36" s="127" customFormat="1" ht="14.25" customHeight="1" outlineLevel="2">
      <c r="A93" s="119">
        <v>575</v>
      </c>
      <c r="B93" s="120" t="s">
        <v>26</v>
      </c>
      <c r="C93" s="120" t="s">
        <v>191</v>
      </c>
      <c r="D93" s="120" t="s">
        <v>192</v>
      </c>
      <c r="E93" s="120" t="s">
        <v>195</v>
      </c>
      <c r="F93" s="120" t="s">
        <v>196</v>
      </c>
      <c r="G93" s="121">
        <v>1.2</v>
      </c>
      <c r="H93" s="89"/>
      <c r="I93" s="80">
        <f t="shared" si="33"/>
        <v>1.2</v>
      </c>
      <c r="J93" s="122">
        <v>40027</v>
      </c>
      <c r="K93" s="123">
        <f>VLOOKUP($E93,'2.จัดสรรหลังSK'!$E$4:$Y$98,5,FALSE)</f>
        <v>1301.535607964624</v>
      </c>
      <c r="L93" s="123">
        <f>VLOOKUP($E93,'2.จัดสรรหลังSK'!$E$4:$Y$98,6,FALSE)</f>
        <v>259.63811851999901</v>
      </c>
      <c r="M93" s="124">
        <v>924.58839999999998</v>
      </c>
      <c r="N93" s="124">
        <v>14.5588</v>
      </c>
      <c r="O93" s="124">
        <v>0</v>
      </c>
      <c r="P93" s="121">
        <f t="shared" si="34"/>
        <v>7042.3751743800949</v>
      </c>
      <c r="Q93" s="121">
        <f>VLOOKUP($E93,'2.จัดสรรหลังSK'!$E$4:$Y$98,11,FALSE)</f>
        <v>52096565.780000001</v>
      </c>
      <c r="R93" s="121">
        <f>VLOOKUP($E93,'2.จัดสรรหลังSK'!$E$4:$Y$98,12,FALSE)</f>
        <v>10392534.970000001</v>
      </c>
      <c r="S93" s="80">
        <f>IF($H$105&lt;&gt;0,ROUND(ROUND(M93*I93,4)*P93,2),VLOOKUP($E93,'2.จัดสรรหลังSK'!$E$4:$Q$98,13,FALSE))</f>
        <v>7813558.21</v>
      </c>
      <c r="T93" s="121">
        <f>VLOOKUP($E93,'2.จัดสรรหลังSK'!$E$4:$Y$98,14,FALSE)</f>
        <v>139764.48000000001</v>
      </c>
      <c r="U93" s="121">
        <f>VLOOKUP($E93,'2.จัดสรรหลังSK'!$E$4:$Y$98,15,FALSE)</f>
        <v>0</v>
      </c>
      <c r="V93" s="123">
        <f t="shared" si="70"/>
        <v>70442423.439999998</v>
      </c>
      <c r="W93" s="123">
        <v>27908686</v>
      </c>
      <c r="X93" s="121">
        <f t="shared" si="71"/>
        <v>42533737.439999998</v>
      </c>
      <c r="Y93" s="81">
        <v>0</v>
      </c>
      <c r="Z93" s="125">
        <f t="shared" si="72"/>
        <v>42533737.439999998</v>
      </c>
      <c r="AA93" s="123">
        <f>VLOOKUP($E93,'2.จัดสรรหลังSK'!$E$4:$Y$98,21,FALSE)</f>
        <v>38667037.390000001</v>
      </c>
      <c r="AB93" s="9">
        <f t="shared" si="73"/>
        <v>3866700.05</v>
      </c>
      <c r="AC93" s="126" t="str">
        <f t="shared" si="74"/>
        <v>ผ่าน</v>
      </c>
      <c r="AD93" s="128"/>
      <c r="AE93" s="123">
        <f t="shared" si="75"/>
        <v>42533737.439999998</v>
      </c>
      <c r="AF93" s="128"/>
      <c r="AG93" s="128"/>
      <c r="AH93" s="123">
        <f t="shared" si="76"/>
        <v>0</v>
      </c>
      <c r="AI93" s="123">
        <f t="shared" si="77"/>
        <v>42533737.439999998</v>
      </c>
      <c r="AJ93" s="123">
        <f t="shared" si="78"/>
        <v>42533737.439999998</v>
      </c>
    </row>
    <row r="94" spans="1:36" s="127" customFormat="1" ht="14.25" customHeight="1" outlineLevel="2">
      <c r="A94" s="119">
        <v>576</v>
      </c>
      <c r="B94" s="120" t="s">
        <v>26</v>
      </c>
      <c r="C94" s="120" t="s">
        <v>191</v>
      </c>
      <c r="D94" s="120" t="s">
        <v>192</v>
      </c>
      <c r="E94" s="120" t="s">
        <v>197</v>
      </c>
      <c r="F94" s="120" t="s">
        <v>198</v>
      </c>
      <c r="G94" s="121">
        <v>1.2</v>
      </c>
      <c r="H94" s="89"/>
      <c r="I94" s="80">
        <f t="shared" si="33"/>
        <v>1.2</v>
      </c>
      <c r="J94" s="122">
        <v>44722</v>
      </c>
      <c r="K94" s="123">
        <f>VLOOKUP($E94,'2.จัดสรรหลังSK'!$E$4:$Y$98,5,FALSE)</f>
        <v>1263.4747895890166</v>
      </c>
      <c r="L94" s="123">
        <f>VLOOKUP($E94,'2.จัดสรรหลังSK'!$E$4:$Y$98,6,FALSE)</f>
        <v>252.04551831313447</v>
      </c>
      <c r="M94" s="124">
        <v>1245.3439000000001</v>
      </c>
      <c r="N94" s="124">
        <v>28.5381</v>
      </c>
      <c r="O94" s="124">
        <v>0</v>
      </c>
      <c r="P94" s="121">
        <f t="shared" si="34"/>
        <v>7042.3751743800949</v>
      </c>
      <c r="Q94" s="121">
        <f>VLOOKUP($E94,'2.จัดสรรหลังSK'!$E$4:$Y$98,11,FALSE)</f>
        <v>56505119.539999999</v>
      </c>
      <c r="R94" s="121">
        <f>VLOOKUP($E94,'2.จัดสรรหลังSK'!$E$4:$Y$98,12,FALSE)</f>
        <v>11271979.67</v>
      </c>
      <c r="S94" s="80">
        <f>IF($H$105&lt;&gt;0,ROUND(ROUND(M94*I94,4)*P94,2),VLOOKUP($E94,'2.จัดสรรหลังSK'!$E$4:$Q$98,13,FALSE))</f>
        <v>10524214.890000001</v>
      </c>
      <c r="T94" s="121">
        <f>VLOOKUP($E94,'2.จัดสรรหลังSK'!$E$4:$Y$98,14,FALSE)</f>
        <v>273965.76</v>
      </c>
      <c r="U94" s="121">
        <f>VLOOKUP($E94,'2.จัดสรรหลังSK'!$E$4:$Y$98,15,FALSE)</f>
        <v>0</v>
      </c>
      <c r="V94" s="123">
        <f t="shared" si="70"/>
        <v>78575279.859999999</v>
      </c>
      <c r="W94" s="123">
        <v>36981964</v>
      </c>
      <c r="X94" s="121">
        <f t="shared" si="71"/>
        <v>41593315.859999999</v>
      </c>
      <c r="Y94" s="81">
        <v>0</v>
      </c>
      <c r="Z94" s="125">
        <f t="shared" si="72"/>
        <v>41593315.859999999</v>
      </c>
      <c r="AA94" s="123">
        <f>VLOOKUP($E94,'2.จัดสรรหลังSK'!$E$4:$Y$98,21,FALSE)</f>
        <v>34856173.670000002</v>
      </c>
      <c r="AB94" s="9">
        <f t="shared" si="73"/>
        <v>6737142.1900000004</v>
      </c>
      <c r="AC94" s="126" t="str">
        <f t="shared" si="74"/>
        <v>ผ่าน</v>
      </c>
      <c r="AD94" s="128"/>
      <c r="AE94" s="123">
        <f t="shared" si="75"/>
        <v>41593315.859999999</v>
      </c>
      <c r="AF94" s="128"/>
      <c r="AG94" s="128"/>
      <c r="AH94" s="123">
        <f t="shared" si="76"/>
        <v>0</v>
      </c>
      <c r="AI94" s="123">
        <f t="shared" si="77"/>
        <v>41593315.859999999</v>
      </c>
      <c r="AJ94" s="123">
        <f t="shared" si="78"/>
        <v>41593315.859999999</v>
      </c>
    </row>
    <row r="95" spans="1:36" s="127" customFormat="1" ht="14.25" customHeight="1" outlineLevel="2">
      <c r="A95" s="119">
        <v>577</v>
      </c>
      <c r="B95" s="120" t="s">
        <v>26</v>
      </c>
      <c r="C95" s="120" t="s">
        <v>191</v>
      </c>
      <c r="D95" s="120" t="s">
        <v>192</v>
      </c>
      <c r="E95" s="120" t="s">
        <v>199</v>
      </c>
      <c r="F95" s="120" t="s">
        <v>200</v>
      </c>
      <c r="G95" s="121">
        <v>1.3</v>
      </c>
      <c r="H95" s="89"/>
      <c r="I95" s="80">
        <f t="shared" si="33"/>
        <v>1.3</v>
      </c>
      <c r="J95" s="122">
        <v>27134</v>
      </c>
      <c r="K95" s="123">
        <f>VLOOKUP($E95,'2.จัดสรรหลังSK'!$E$4:$Y$98,5,FALSE)</f>
        <v>1415.2946487801282</v>
      </c>
      <c r="L95" s="123">
        <f>VLOOKUP($E95,'2.จัดสรรหลังSK'!$E$4:$Y$98,6,FALSE)</f>
        <v>282.33145315839909</v>
      </c>
      <c r="M95" s="124">
        <v>1291.7336</v>
      </c>
      <c r="N95" s="124">
        <v>36.531300000000002</v>
      </c>
      <c r="O95" s="124">
        <v>0</v>
      </c>
      <c r="P95" s="121">
        <f t="shared" si="34"/>
        <v>7042.3751743800949</v>
      </c>
      <c r="Q95" s="121">
        <f>VLOOKUP($E95,'2.จัดสรรหลังSK'!$E$4:$Y$98,11,FALSE)</f>
        <v>38402605</v>
      </c>
      <c r="R95" s="121">
        <f>VLOOKUP($E95,'2.จัดสรรหลังSK'!$E$4:$Y$98,12,FALSE)</f>
        <v>7660781.6500000004</v>
      </c>
      <c r="S95" s="80">
        <f>IF($H$105&lt;&gt;0,ROUND(ROUND(M95*I95,4)*P95,2),VLOOKUP($E95,'2.จัดสรรหลังSK'!$E$4:$Q$98,13,FALSE))</f>
        <v>11825934.560000001</v>
      </c>
      <c r="T95" s="121">
        <f>VLOOKUP($E95,'2.จัดสรรหลังSK'!$E$4:$Y$98,14,FALSE)</f>
        <v>350700.48</v>
      </c>
      <c r="U95" s="121">
        <f>VLOOKUP($E95,'2.จัดสรรหลังSK'!$E$4:$Y$98,15,FALSE)</f>
        <v>0</v>
      </c>
      <c r="V95" s="123">
        <f t="shared" si="70"/>
        <v>58240021.689999998</v>
      </c>
      <c r="W95" s="123">
        <v>25998966</v>
      </c>
      <c r="X95" s="121">
        <f t="shared" si="71"/>
        <v>32241055.690000001</v>
      </c>
      <c r="Y95" s="81">
        <v>0</v>
      </c>
      <c r="Z95" s="125">
        <f t="shared" si="72"/>
        <v>32241055.690000001</v>
      </c>
      <c r="AA95" s="123">
        <f>VLOOKUP($E95,'2.จัดสรรหลังSK'!$E$4:$Y$98,21,FALSE)</f>
        <v>24490811.07</v>
      </c>
      <c r="AB95" s="9">
        <f t="shared" si="73"/>
        <v>7750244.6200000001</v>
      </c>
      <c r="AC95" s="126" t="str">
        <f t="shared" si="74"/>
        <v>ผ่าน</v>
      </c>
      <c r="AD95" s="128"/>
      <c r="AE95" s="123">
        <f t="shared" si="75"/>
        <v>32241055.690000001</v>
      </c>
      <c r="AF95" s="128"/>
      <c r="AG95" s="128"/>
      <c r="AH95" s="123">
        <f t="shared" si="76"/>
        <v>0</v>
      </c>
      <c r="AI95" s="123">
        <f t="shared" si="77"/>
        <v>32241055.690000001</v>
      </c>
      <c r="AJ95" s="123">
        <f t="shared" si="78"/>
        <v>32241055.690000001</v>
      </c>
    </row>
    <row r="96" spans="1:36" s="127" customFormat="1" ht="14.25" customHeight="1" outlineLevel="2">
      <c r="A96" s="119">
        <v>578</v>
      </c>
      <c r="B96" s="120" t="s">
        <v>26</v>
      </c>
      <c r="C96" s="120" t="s">
        <v>191</v>
      </c>
      <c r="D96" s="120" t="s">
        <v>192</v>
      </c>
      <c r="E96" s="120" t="s">
        <v>201</v>
      </c>
      <c r="F96" s="120" t="s">
        <v>202</v>
      </c>
      <c r="G96" s="121">
        <v>1.35</v>
      </c>
      <c r="H96" s="89"/>
      <c r="I96" s="80">
        <f t="shared" ref="I96:I103" si="79">IF(H96&lt;&gt;"",ROUND(H96,2),G96)</f>
        <v>1.35</v>
      </c>
      <c r="J96" s="122">
        <v>17744</v>
      </c>
      <c r="K96" s="123">
        <f>VLOOKUP($E96,'2.จัดสรรหลังSK'!$E$4:$Y$98,5,FALSE)</f>
        <v>1510.1259873760143</v>
      </c>
      <c r="L96" s="123">
        <f>VLOOKUP($E96,'2.จัดสรรหลังSK'!$E$4:$Y$98,6,FALSE)</f>
        <v>301.24897655545533</v>
      </c>
      <c r="M96" s="124">
        <v>848.11040000000003</v>
      </c>
      <c r="N96" s="124">
        <v>8.4916999999999998</v>
      </c>
      <c r="O96" s="124">
        <v>0</v>
      </c>
      <c r="P96" s="121">
        <f t="shared" ref="P96:P103" si="80">$P$7</f>
        <v>7042.3751743800949</v>
      </c>
      <c r="Q96" s="121">
        <f>VLOOKUP($E96,'2.จัดสรรหลังSK'!$E$4:$Y$98,11,FALSE)</f>
        <v>26795675.52</v>
      </c>
      <c r="R96" s="121">
        <f>VLOOKUP($E96,'2.จัดสรรหลังSK'!$E$4:$Y$98,12,FALSE)</f>
        <v>5345361.84</v>
      </c>
      <c r="S96" s="80">
        <f>IF($H$105&lt;&gt;0,ROUND(ROUND(M96*I96,4)*P96,2),VLOOKUP($E96,'2.จัดสรรหลังSK'!$E$4:$Q$98,13,FALSE))</f>
        <v>8063160.4100000001</v>
      </c>
      <c r="T96" s="121">
        <f>VLOOKUP($E96,'2.จัดสรรหลังSK'!$E$4:$Y$98,14,FALSE)</f>
        <v>81520.320000000007</v>
      </c>
      <c r="U96" s="121">
        <f>VLOOKUP($E96,'2.จัดสรรหลังSK'!$E$4:$Y$98,15,FALSE)</f>
        <v>0</v>
      </c>
      <c r="V96" s="123">
        <f t="shared" si="70"/>
        <v>40285718.089999996</v>
      </c>
      <c r="W96" s="123">
        <v>18659948</v>
      </c>
      <c r="X96" s="121">
        <f t="shared" si="71"/>
        <v>21625770.09</v>
      </c>
      <c r="Y96" s="81">
        <v>247484.82</v>
      </c>
      <c r="Z96" s="125">
        <f t="shared" si="72"/>
        <v>21873254.91</v>
      </c>
      <c r="AA96" s="123">
        <f>VLOOKUP($E96,'2.จัดสรรหลังSK'!$E$4:$Y$98,21,FALSE)</f>
        <v>21873254.91</v>
      </c>
      <c r="AB96" s="9">
        <f t="shared" si="73"/>
        <v>0</v>
      </c>
      <c r="AC96" s="126" t="str">
        <f t="shared" si="74"/>
        <v>ผ่าน</v>
      </c>
      <c r="AD96" s="128"/>
      <c r="AE96" s="123">
        <f t="shared" si="75"/>
        <v>21873254.91</v>
      </c>
      <c r="AF96" s="128"/>
      <c r="AG96" s="128"/>
      <c r="AH96" s="123">
        <f t="shared" si="76"/>
        <v>0</v>
      </c>
      <c r="AI96" s="123">
        <f t="shared" si="77"/>
        <v>21873254.91</v>
      </c>
      <c r="AJ96" s="123">
        <f t="shared" si="78"/>
        <v>21873254.91</v>
      </c>
    </row>
    <row r="97" spans="1:36" s="127" customFormat="1" ht="14.25" customHeight="1" outlineLevel="2">
      <c r="A97" s="119">
        <v>579</v>
      </c>
      <c r="B97" s="120" t="s">
        <v>26</v>
      </c>
      <c r="C97" s="120" t="s">
        <v>191</v>
      </c>
      <c r="D97" s="120" t="s">
        <v>192</v>
      </c>
      <c r="E97" s="120" t="s">
        <v>203</v>
      </c>
      <c r="F97" s="120" t="s">
        <v>204</v>
      </c>
      <c r="G97" s="121">
        <v>1.25</v>
      </c>
      <c r="H97" s="89"/>
      <c r="I97" s="80">
        <f t="shared" si="79"/>
        <v>1.25</v>
      </c>
      <c r="J97" s="122">
        <v>32932</v>
      </c>
      <c r="K97" s="123">
        <f>VLOOKUP($E97,'2.จัดสรรหลังSK'!$E$4:$Y$98,5,FALSE)</f>
        <v>1361.3231820114174</v>
      </c>
      <c r="L97" s="123">
        <f>VLOOKUP($E97,'2.จัดสรรหลังSK'!$E$4:$Y$98,6,FALSE)</f>
        <v>271.56490161545003</v>
      </c>
      <c r="M97" s="124">
        <v>1584.6184000000001</v>
      </c>
      <c r="N97" s="124">
        <v>27.335699999999999</v>
      </c>
      <c r="O97" s="124">
        <v>0</v>
      </c>
      <c r="P97" s="121">
        <f t="shared" si="80"/>
        <v>7042.3751743800949</v>
      </c>
      <c r="Q97" s="121">
        <f>VLOOKUP($E97,'2.จัดสรรหลังSK'!$E$4:$Y$98,11,FALSE)</f>
        <v>44831095.030000001</v>
      </c>
      <c r="R97" s="121">
        <f>VLOOKUP($E97,'2.จัดสรรหลังSK'!$E$4:$Y$98,12,FALSE)</f>
        <v>8943175.3399999999</v>
      </c>
      <c r="S97" s="80">
        <f>IF($H$105&lt;&gt;0,ROUND(ROUND(M97*I97,4)*P97,2),VLOOKUP($E97,'2.จัดสรรหลังSK'!$E$4:$Q$98,13,FALSE))</f>
        <v>13949346.59</v>
      </c>
      <c r="T97" s="121">
        <f>VLOOKUP($E97,'2.จัดสรรหลังSK'!$E$4:$Y$98,14,FALSE)</f>
        <v>262422.71999999997</v>
      </c>
      <c r="U97" s="121">
        <f>VLOOKUP($E97,'2.จัดสรรหลังSK'!$E$4:$Y$98,15,FALSE)</f>
        <v>0</v>
      </c>
      <c r="V97" s="123">
        <f t="shared" si="70"/>
        <v>67986039.680000007</v>
      </c>
      <c r="W97" s="123">
        <v>42505656</v>
      </c>
      <c r="X97" s="121">
        <f t="shared" si="71"/>
        <v>25480383.68</v>
      </c>
      <c r="Y97" s="81">
        <v>0</v>
      </c>
      <c r="Z97" s="125">
        <f t="shared" si="72"/>
        <v>25480383.68</v>
      </c>
      <c r="AA97" s="123">
        <f>VLOOKUP($E97,'2.จัดสรรหลังSK'!$E$4:$Y$98,21,FALSE)</f>
        <v>23334103.899999999</v>
      </c>
      <c r="AB97" s="9">
        <f t="shared" si="73"/>
        <v>2146279.7799999998</v>
      </c>
      <c r="AC97" s="126" t="str">
        <f t="shared" si="74"/>
        <v>ผ่าน</v>
      </c>
      <c r="AD97" s="128"/>
      <c r="AE97" s="123">
        <f t="shared" si="75"/>
        <v>25480383.68</v>
      </c>
      <c r="AF97" s="128"/>
      <c r="AG97" s="128"/>
      <c r="AH97" s="123">
        <f t="shared" si="76"/>
        <v>0</v>
      </c>
      <c r="AI97" s="123">
        <f t="shared" si="77"/>
        <v>25480383.68</v>
      </c>
      <c r="AJ97" s="123">
        <f t="shared" si="78"/>
        <v>25480383.68</v>
      </c>
    </row>
    <row r="98" spans="1:36" s="127" customFormat="1" ht="14.25" customHeight="1" outlineLevel="2">
      <c r="A98" s="119">
        <v>580</v>
      </c>
      <c r="B98" s="120" t="s">
        <v>26</v>
      </c>
      <c r="C98" s="120" t="s">
        <v>191</v>
      </c>
      <c r="D98" s="120" t="s">
        <v>192</v>
      </c>
      <c r="E98" s="120" t="s">
        <v>205</v>
      </c>
      <c r="F98" s="120" t="s">
        <v>206</v>
      </c>
      <c r="G98" s="121">
        <v>1.1499999999999999</v>
      </c>
      <c r="H98" s="89"/>
      <c r="I98" s="80">
        <f t="shared" si="79"/>
        <v>1.1499999999999999</v>
      </c>
      <c r="J98" s="122">
        <v>55055</v>
      </c>
      <c r="K98" s="123">
        <f>VLOOKUP($E98,'2.จัดสรรหลังSK'!$E$4:$Y$98,5,FALSE)</f>
        <v>1194.7359119062755</v>
      </c>
      <c r="L98" s="123">
        <f>VLOOKUP($E98,'2.จัดสรรหลังSK'!$E$4:$Y$98,6,FALSE)</f>
        <v>238.33307528834803</v>
      </c>
      <c r="M98" s="124">
        <v>1882.6287</v>
      </c>
      <c r="N98" s="124">
        <v>43.42</v>
      </c>
      <c r="O98" s="124">
        <v>0</v>
      </c>
      <c r="P98" s="121">
        <f t="shared" si="80"/>
        <v>7042.3751743800949</v>
      </c>
      <c r="Q98" s="121">
        <f>VLOOKUP($E98,'2.จัดสรรหลังSK'!$E$4:$Y$98,11,FALSE)</f>
        <v>65776185.630000003</v>
      </c>
      <c r="R98" s="121">
        <f>VLOOKUP($E98,'2.จัดสรรหลังSK'!$E$4:$Y$98,12,FALSE)</f>
        <v>13121427.460000001</v>
      </c>
      <c r="S98" s="80">
        <f>IF($H$105&lt;&gt;0,ROUND(ROUND(M98*I98,4)*P98,2),VLOOKUP($E98,'2.จัดสรรหลังSK'!$E$4:$Q$98,13,FALSE))</f>
        <v>15246904.220000001</v>
      </c>
      <c r="T98" s="121">
        <f>VLOOKUP($E98,'2.จัดสรรหลังSK'!$E$4:$Y$98,14,FALSE)</f>
        <v>416832</v>
      </c>
      <c r="U98" s="121">
        <f>VLOOKUP($E98,'2.จัดสรรหลังSK'!$E$4:$Y$98,15,FALSE)</f>
        <v>0</v>
      </c>
      <c r="V98" s="123">
        <f t="shared" si="70"/>
        <v>94561349.310000002</v>
      </c>
      <c r="W98" s="123">
        <v>47872280</v>
      </c>
      <c r="X98" s="121">
        <f t="shared" si="71"/>
        <v>46689069.310000002</v>
      </c>
      <c r="Y98" s="81">
        <v>0</v>
      </c>
      <c r="Z98" s="125">
        <f t="shared" si="72"/>
        <v>46689069.310000002</v>
      </c>
      <c r="AA98" s="123">
        <f>VLOOKUP($E98,'2.จัดสรรหลังSK'!$E$4:$Y$98,21,FALSE)</f>
        <v>45321844.409999996</v>
      </c>
      <c r="AB98" s="9">
        <f t="shared" si="73"/>
        <v>1367224.9</v>
      </c>
      <c r="AC98" s="126" t="str">
        <f t="shared" si="74"/>
        <v>ผ่าน</v>
      </c>
      <c r="AD98" s="128"/>
      <c r="AE98" s="123">
        <f t="shared" si="75"/>
        <v>46689069.310000002</v>
      </c>
      <c r="AF98" s="128"/>
      <c r="AG98" s="128"/>
      <c r="AH98" s="123">
        <f t="shared" si="76"/>
        <v>0</v>
      </c>
      <c r="AI98" s="123">
        <f t="shared" si="77"/>
        <v>46689069.310000002</v>
      </c>
      <c r="AJ98" s="123">
        <f t="shared" si="78"/>
        <v>46689069.310000002</v>
      </c>
    </row>
    <row r="99" spans="1:36" s="127" customFormat="1" ht="14.25" customHeight="1" outlineLevel="2">
      <c r="A99" s="119">
        <v>581</v>
      </c>
      <c r="B99" s="120" t="s">
        <v>26</v>
      </c>
      <c r="C99" s="120" t="s">
        <v>191</v>
      </c>
      <c r="D99" s="120" t="s">
        <v>192</v>
      </c>
      <c r="E99" s="120" t="s">
        <v>207</v>
      </c>
      <c r="F99" s="120" t="s">
        <v>208</v>
      </c>
      <c r="G99" s="121">
        <v>1.1499999999999999</v>
      </c>
      <c r="H99" s="89"/>
      <c r="I99" s="80">
        <f t="shared" si="79"/>
        <v>1.1499999999999999</v>
      </c>
      <c r="J99" s="122">
        <v>53472</v>
      </c>
      <c r="K99" s="123">
        <f>VLOOKUP($E99,'2.จัดสรรหลังSK'!$E$4:$Y$98,5,FALSE)</f>
        <v>1204.8342117369839</v>
      </c>
      <c r="L99" s="123">
        <f>VLOOKUP($E99,'2.จัดสรรหลังSK'!$E$4:$Y$98,6,FALSE)</f>
        <v>240.34754469628965</v>
      </c>
      <c r="M99" s="124">
        <v>3523.2865999999999</v>
      </c>
      <c r="N99" s="124">
        <v>50.103400000000001</v>
      </c>
      <c r="O99" s="124">
        <v>18.575600000000001</v>
      </c>
      <c r="P99" s="121">
        <f t="shared" si="80"/>
        <v>7042.3751743800949</v>
      </c>
      <c r="Q99" s="121">
        <f>VLOOKUP($E99,'2.จัดสรรหลังSK'!$E$4:$Y$98,11,FALSE)</f>
        <v>64424894.969999999</v>
      </c>
      <c r="R99" s="121">
        <f>VLOOKUP($E99,'2.จัดสรรหลังSK'!$E$4:$Y$98,12,FALSE)</f>
        <v>12851863.91</v>
      </c>
      <c r="S99" s="80">
        <f>IF($H$105&lt;&gt;0,ROUND(ROUND(M99*I99,4)*P99,2),VLOOKUP($E99,'2.จัดสรรหลังSK'!$E$4:$Q$98,13,FALSE))</f>
        <v>28534152.050000001</v>
      </c>
      <c r="T99" s="121">
        <f>VLOOKUP($E99,'2.จัดสรรหลังSK'!$E$4:$Y$98,14,FALSE)</f>
        <v>480992.64</v>
      </c>
      <c r="U99" s="121">
        <f>VLOOKUP($E99,'2.จัดสรรหลังSK'!$E$4:$Y$98,15,FALSE)</f>
        <v>167180.4</v>
      </c>
      <c r="V99" s="123">
        <f t="shared" si="70"/>
        <v>106459083.97</v>
      </c>
      <c r="W99" s="123">
        <v>46973208</v>
      </c>
      <c r="X99" s="121">
        <f t="shared" si="71"/>
        <v>59485875.969999999</v>
      </c>
      <c r="Y99" s="81">
        <v>0</v>
      </c>
      <c r="Z99" s="125">
        <f t="shared" si="72"/>
        <v>59485875.969999999</v>
      </c>
      <c r="AA99" s="123">
        <f>VLOOKUP($E99,'2.จัดสรรหลังSK'!$E$4:$Y$98,21,FALSE)</f>
        <v>58889415.840000004</v>
      </c>
      <c r="AB99" s="9">
        <f t="shared" si="73"/>
        <v>596460.13</v>
      </c>
      <c r="AC99" s="126" t="str">
        <f t="shared" si="74"/>
        <v>ผ่าน</v>
      </c>
      <c r="AD99" s="128"/>
      <c r="AE99" s="123">
        <f t="shared" si="75"/>
        <v>59485875.969999999</v>
      </c>
      <c r="AF99" s="128"/>
      <c r="AG99" s="128"/>
      <c r="AH99" s="123">
        <f t="shared" si="76"/>
        <v>0</v>
      </c>
      <c r="AI99" s="123">
        <f t="shared" si="77"/>
        <v>59485875.969999999</v>
      </c>
      <c r="AJ99" s="123">
        <f t="shared" si="78"/>
        <v>59485875.969999999</v>
      </c>
    </row>
    <row r="100" spans="1:36" s="127" customFormat="1" ht="14.25" customHeight="1" outlineLevel="2">
      <c r="A100" s="119">
        <v>582</v>
      </c>
      <c r="B100" s="120" t="s">
        <v>26</v>
      </c>
      <c r="C100" s="120" t="s">
        <v>191</v>
      </c>
      <c r="D100" s="120" t="s">
        <v>192</v>
      </c>
      <c r="E100" s="120" t="s">
        <v>209</v>
      </c>
      <c r="F100" s="120" t="s">
        <v>210</v>
      </c>
      <c r="G100" s="121">
        <v>1.25</v>
      </c>
      <c r="H100" s="89"/>
      <c r="I100" s="80">
        <f t="shared" si="79"/>
        <v>1.25</v>
      </c>
      <c r="J100" s="122">
        <v>37939</v>
      </c>
      <c r="K100" s="123">
        <f>VLOOKUP($E100,'2.จัดสรรหลังSK'!$E$4:$Y$98,5,FALSE)</f>
        <v>1316.8513706212605</v>
      </c>
      <c r="L100" s="123">
        <f>VLOOKUP($E100,'2.จัดสรรหลังSK'!$E$4:$Y$98,6,FALSE)</f>
        <v>262.69339834998289</v>
      </c>
      <c r="M100" s="124">
        <v>1252.1901</v>
      </c>
      <c r="N100" s="124">
        <v>23.865400000000001</v>
      </c>
      <c r="O100" s="124">
        <v>0</v>
      </c>
      <c r="P100" s="121">
        <f t="shared" si="80"/>
        <v>7042.3751743800949</v>
      </c>
      <c r="Q100" s="121">
        <f>VLOOKUP($E100,'2.จัดสรรหลังSK'!$E$4:$Y$98,11,FALSE)</f>
        <v>49960024.149999999</v>
      </c>
      <c r="R100" s="121">
        <f>VLOOKUP($E100,'2.จัดสรรหลังSK'!$E$4:$Y$98,12,FALSE)</f>
        <v>9966324.8399999999</v>
      </c>
      <c r="S100" s="80">
        <f>IF($H$105&lt;&gt;0,ROUND(ROUND(M100*I100,4)*P100,2),VLOOKUP($E100,'2.จัดสรรหลังSK'!$E$4:$Q$98,13,FALSE))</f>
        <v>11022990.41</v>
      </c>
      <c r="T100" s="121">
        <f>VLOOKUP($E100,'2.จัดสรรหลังSK'!$E$4:$Y$98,14,FALSE)</f>
        <v>229107.84</v>
      </c>
      <c r="U100" s="121">
        <f>VLOOKUP($E100,'2.จัดสรรหลังSK'!$E$4:$Y$98,15,FALSE)</f>
        <v>0</v>
      </c>
      <c r="V100" s="123">
        <f t="shared" si="70"/>
        <v>71178447.239999995</v>
      </c>
      <c r="W100" s="123">
        <v>29625274</v>
      </c>
      <c r="X100" s="121">
        <f t="shared" si="71"/>
        <v>41553173.240000002</v>
      </c>
      <c r="Y100" s="81">
        <v>0</v>
      </c>
      <c r="Z100" s="125">
        <f t="shared" si="72"/>
        <v>41553173.240000002</v>
      </c>
      <c r="AA100" s="123">
        <f>VLOOKUP($E100,'2.จัดสรรหลังSK'!$E$4:$Y$98,21,FALSE)</f>
        <v>34706158.960000001</v>
      </c>
      <c r="AB100" s="9">
        <f t="shared" si="73"/>
        <v>6847014.2800000003</v>
      </c>
      <c r="AC100" s="126" t="str">
        <f t="shared" si="74"/>
        <v>ผ่าน</v>
      </c>
      <c r="AD100" s="128"/>
      <c r="AE100" s="123">
        <f t="shared" si="75"/>
        <v>41553173.240000002</v>
      </c>
      <c r="AF100" s="128"/>
      <c r="AG100" s="128"/>
      <c r="AH100" s="123">
        <f t="shared" si="76"/>
        <v>0</v>
      </c>
      <c r="AI100" s="123">
        <f t="shared" si="77"/>
        <v>41553173.240000002</v>
      </c>
      <c r="AJ100" s="123">
        <f t="shared" si="78"/>
        <v>41553173.240000002</v>
      </c>
    </row>
    <row r="101" spans="1:36" s="127" customFormat="1" ht="14.25" customHeight="1" outlineLevel="2">
      <c r="A101" s="119">
        <v>583</v>
      </c>
      <c r="B101" s="120" t="s">
        <v>26</v>
      </c>
      <c r="C101" s="120" t="s">
        <v>191</v>
      </c>
      <c r="D101" s="120" t="s">
        <v>192</v>
      </c>
      <c r="E101" s="120" t="s">
        <v>211</v>
      </c>
      <c r="F101" s="120" t="s">
        <v>212</v>
      </c>
      <c r="G101" s="121">
        <v>1.2</v>
      </c>
      <c r="H101" s="89"/>
      <c r="I101" s="80">
        <f t="shared" si="79"/>
        <v>1.2</v>
      </c>
      <c r="J101" s="122">
        <v>43480</v>
      </c>
      <c r="K101" s="123">
        <f>VLOOKUP($E101,'2.จัดสรรหลังSK'!$E$4:$Y$98,5,FALSE)</f>
        <v>1272.7436775528979</v>
      </c>
      <c r="L101" s="123">
        <f>VLOOKUP($E101,'2.จัดสรรหลังSK'!$E$4:$Y$98,6,FALSE)</f>
        <v>253.89453150873965</v>
      </c>
      <c r="M101" s="124">
        <v>1714.7805000000001</v>
      </c>
      <c r="N101" s="124">
        <v>23.7532</v>
      </c>
      <c r="O101" s="124">
        <v>0</v>
      </c>
      <c r="P101" s="121">
        <f t="shared" si="80"/>
        <v>7042.3751743800949</v>
      </c>
      <c r="Q101" s="121">
        <f>VLOOKUP($E101,'2.จัดสรรหลังSK'!$E$4:$Y$98,11,FALSE)</f>
        <v>55338895.100000001</v>
      </c>
      <c r="R101" s="121">
        <f>VLOOKUP($E101,'2.จัดสรรหลังSK'!$E$4:$Y$98,12,FALSE)</f>
        <v>11039334.23</v>
      </c>
      <c r="S101" s="80">
        <f>IF($H$105&lt;&gt;0,ROUND(ROUND(M101*I101,4)*P101,2),VLOOKUP($E101,'2.จัดสรรหลังSK'!$E$4:$Q$98,13,FALSE))</f>
        <v>14491353.140000001</v>
      </c>
      <c r="T101" s="121">
        <f>VLOOKUP($E101,'2.จัดสรรหลังSK'!$E$4:$Y$98,14,FALSE)</f>
        <v>228030.72</v>
      </c>
      <c r="U101" s="121">
        <f>VLOOKUP($E101,'2.จัดสรรหลังSK'!$E$4:$Y$98,15,FALSE)</f>
        <v>0</v>
      </c>
      <c r="V101" s="123">
        <f t="shared" si="70"/>
        <v>81097613.189999998</v>
      </c>
      <c r="W101" s="123">
        <v>32164344</v>
      </c>
      <c r="X101" s="121">
        <f t="shared" si="71"/>
        <v>48933269.189999998</v>
      </c>
      <c r="Y101" s="81">
        <v>0</v>
      </c>
      <c r="Z101" s="125">
        <f t="shared" si="72"/>
        <v>48933269.189999998</v>
      </c>
      <c r="AA101" s="123">
        <f>VLOOKUP($E101,'2.จัดสรรหลังSK'!$E$4:$Y$98,21,FALSE)</f>
        <v>43365508.409999996</v>
      </c>
      <c r="AB101" s="9">
        <f t="shared" si="73"/>
        <v>5567760.7800000003</v>
      </c>
      <c r="AC101" s="126" t="str">
        <f t="shared" si="74"/>
        <v>ผ่าน</v>
      </c>
      <c r="AD101" s="128"/>
      <c r="AE101" s="123">
        <f t="shared" si="75"/>
        <v>48933269.189999998</v>
      </c>
      <c r="AF101" s="128"/>
      <c r="AG101" s="128"/>
      <c r="AH101" s="123">
        <f t="shared" si="76"/>
        <v>0</v>
      </c>
      <c r="AI101" s="123">
        <f t="shared" si="77"/>
        <v>48933269.189999998</v>
      </c>
      <c r="AJ101" s="123">
        <f t="shared" si="78"/>
        <v>48933269.189999998</v>
      </c>
    </row>
    <row r="102" spans="1:36" s="127" customFormat="1" ht="14.25" customHeight="1" outlineLevel="2">
      <c r="A102" s="119">
        <v>584</v>
      </c>
      <c r="B102" s="120" t="s">
        <v>26</v>
      </c>
      <c r="C102" s="120" t="s">
        <v>191</v>
      </c>
      <c r="D102" s="120" t="s">
        <v>192</v>
      </c>
      <c r="E102" s="120" t="s">
        <v>213</v>
      </c>
      <c r="F102" s="120" t="s">
        <v>214</v>
      </c>
      <c r="G102" s="121">
        <v>1.1000000000000001</v>
      </c>
      <c r="H102" s="89"/>
      <c r="I102" s="80">
        <f t="shared" si="79"/>
        <v>1.1000000000000001</v>
      </c>
      <c r="J102" s="122">
        <v>61230</v>
      </c>
      <c r="K102" s="123">
        <f>VLOOKUP($E102,'2.จัดสรรหลังSK'!$E$4:$Y$98,5,FALSE)</f>
        <v>1159.4778848603626</v>
      </c>
      <c r="L102" s="123">
        <f>VLOOKUP($E102,'2.จัดสรรหลังSK'!$E$4:$Y$98,6,FALSE)</f>
        <v>231.29959300996245</v>
      </c>
      <c r="M102" s="124">
        <v>5172.192</v>
      </c>
      <c r="N102" s="124">
        <v>122.5997</v>
      </c>
      <c r="O102" s="124">
        <v>49.337800000000001</v>
      </c>
      <c r="P102" s="121">
        <f t="shared" si="80"/>
        <v>7042.3751743800949</v>
      </c>
      <c r="Q102" s="121">
        <f>VLOOKUP($E102,'2.จัดสรรหลังSK'!$E$4:$Y$98,11,FALSE)</f>
        <v>70994830.890000001</v>
      </c>
      <c r="R102" s="121">
        <f>VLOOKUP($E102,'2.จัดสรรหลังSK'!$E$4:$Y$98,12,FALSE)</f>
        <v>14162474.08</v>
      </c>
      <c r="S102" s="80">
        <f>IF($H$105&lt;&gt;0,ROUND(ROUND(M102*I102,4)*P102,2),VLOOKUP($E102,'2.จัดสรรหลังSK'!$E$4:$Q$98,13,FALSE))</f>
        <v>40066968.170000002</v>
      </c>
      <c r="T102" s="121">
        <f>VLOOKUP($E102,'2.จัดสรรหลังSK'!$E$4:$Y$98,14,FALSE)</f>
        <v>1176957.1200000001</v>
      </c>
      <c r="U102" s="121">
        <f>VLOOKUP($E102,'2.จัดสรรหลังSK'!$E$4:$Y$98,15,FALSE)</f>
        <v>444040.2</v>
      </c>
      <c r="V102" s="123">
        <f t="shared" si="70"/>
        <v>126845270.46000001</v>
      </c>
      <c r="W102" s="123">
        <v>74630784</v>
      </c>
      <c r="X102" s="121">
        <f t="shared" si="71"/>
        <v>52214486.460000001</v>
      </c>
      <c r="Y102" s="81">
        <v>0</v>
      </c>
      <c r="Z102" s="125">
        <f t="shared" si="72"/>
        <v>52214486.460000001</v>
      </c>
      <c r="AA102" s="123">
        <f>VLOOKUP($E102,'2.จัดสรรหลังSK'!$E$4:$Y$98,21,FALSE)</f>
        <v>51586167.869999997</v>
      </c>
      <c r="AB102" s="9">
        <f t="shared" si="73"/>
        <v>628318.59</v>
      </c>
      <c r="AC102" s="126" t="str">
        <f t="shared" si="74"/>
        <v>ผ่าน</v>
      </c>
      <c r="AD102" s="128"/>
      <c r="AE102" s="123">
        <f t="shared" si="75"/>
        <v>52214486.460000001</v>
      </c>
      <c r="AF102" s="128"/>
      <c r="AG102" s="128"/>
      <c r="AH102" s="123">
        <f t="shared" si="76"/>
        <v>0</v>
      </c>
      <c r="AI102" s="123">
        <f t="shared" si="77"/>
        <v>52214486.460000001</v>
      </c>
      <c r="AJ102" s="123">
        <f t="shared" si="78"/>
        <v>52214486.460000001</v>
      </c>
    </row>
    <row r="103" spans="1:36" s="127" customFormat="1" ht="14.25" customHeight="1" outlineLevel="2">
      <c r="A103" s="119">
        <v>585</v>
      </c>
      <c r="B103" s="120" t="s">
        <v>26</v>
      </c>
      <c r="C103" s="120" t="s">
        <v>191</v>
      </c>
      <c r="D103" s="120" t="s">
        <v>192</v>
      </c>
      <c r="E103" s="120" t="s">
        <v>215</v>
      </c>
      <c r="F103" s="120" t="s">
        <v>216</v>
      </c>
      <c r="G103" s="121">
        <v>1.35</v>
      </c>
      <c r="H103" s="89"/>
      <c r="I103" s="80">
        <f t="shared" si="79"/>
        <v>1.35</v>
      </c>
      <c r="J103" s="122">
        <v>11548</v>
      </c>
      <c r="K103" s="123">
        <f>VLOOKUP($E103,'2.จัดสรรหลังSK'!$E$4:$Y$98,5,FALSE)</f>
        <v>1587.5618643921025</v>
      </c>
      <c r="L103" s="123">
        <f>VLOOKUP($E103,'2.จัดสรรหลังSK'!$E$4:$Y$98,6,FALSE)</f>
        <v>316.69634915136822</v>
      </c>
      <c r="M103" s="124">
        <v>624.44299999999998</v>
      </c>
      <c r="N103" s="124">
        <v>7.3780999999999999</v>
      </c>
      <c r="O103" s="124">
        <v>0</v>
      </c>
      <c r="P103" s="121">
        <f t="shared" si="80"/>
        <v>7042.3751743800949</v>
      </c>
      <c r="Q103" s="121">
        <f>VLOOKUP($E103,'2.จัดสรรหลังSK'!$E$4:$Y$98,11,FALSE)</f>
        <v>18333164.41</v>
      </c>
      <c r="R103" s="121">
        <f>VLOOKUP($E103,'2.จัดสรรหลังSK'!$E$4:$Y$98,12,FALSE)</f>
        <v>3657209.44</v>
      </c>
      <c r="S103" s="80">
        <f>IF($H$105&lt;&gt;0,ROUND(ROUND(M103*I103,4)*P103,2),VLOOKUP($E103,'2.จัดสรรหลังSK'!$E$4:$Q$98,13,FALSE))</f>
        <v>5936708.8899999997</v>
      </c>
      <c r="T103" s="121">
        <f>VLOOKUP($E103,'2.จัดสรรหลังSK'!$E$4:$Y$98,14,FALSE)</f>
        <v>70829.759999999995</v>
      </c>
      <c r="U103" s="121">
        <f>VLOOKUP($E103,'2.จัดสรรหลังSK'!$E$4:$Y$98,15,FALSE)</f>
        <v>0</v>
      </c>
      <c r="V103" s="123">
        <f t="shared" si="70"/>
        <v>27997912.500000004</v>
      </c>
      <c r="W103" s="123">
        <v>13693135</v>
      </c>
      <c r="X103" s="121">
        <f t="shared" si="71"/>
        <v>14304777.5</v>
      </c>
      <c r="Y103" s="81">
        <v>0</v>
      </c>
      <c r="Z103" s="125">
        <f t="shared" si="72"/>
        <v>14304777.5</v>
      </c>
      <c r="AA103" s="123">
        <f>VLOOKUP($E103,'2.จัดสรรหลังSK'!$E$4:$Y$98,21,FALSE)</f>
        <v>13857553.119999999</v>
      </c>
      <c r="AB103" s="9">
        <f t="shared" si="73"/>
        <v>447224.38</v>
      </c>
      <c r="AC103" s="126" t="str">
        <f t="shared" si="74"/>
        <v>ผ่าน</v>
      </c>
      <c r="AD103" s="128"/>
      <c r="AE103" s="123">
        <f t="shared" si="75"/>
        <v>14304777.5</v>
      </c>
      <c r="AF103" s="128"/>
      <c r="AG103" s="128"/>
      <c r="AH103" s="123">
        <f t="shared" si="76"/>
        <v>0</v>
      </c>
      <c r="AI103" s="123">
        <f t="shared" si="77"/>
        <v>14304777.5</v>
      </c>
      <c r="AJ103" s="123">
        <f t="shared" si="78"/>
        <v>14304777.5</v>
      </c>
    </row>
    <row r="104" spans="1:36" s="127" customFormat="1" ht="14.25" customHeight="1" outlineLevel="1">
      <c r="A104" s="180"/>
      <c r="B104" s="181"/>
      <c r="C104" s="155"/>
      <c r="D104" s="182" t="s">
        <v>285</v>
      </c>
      <c r="E104" s="181"/>
      <c r="F104" s="181"/>
      <c r="G104" s="183"/>
      <c r="H104" s="184"/>
      <c r="I104" s="185"/>
      <c r="J104" s="186">
        <f>SUBTOTAL(9,J92:J103)</f>
        <v>534396</v>
      </c>
      <c r="K104" s="187"/>
      <c r="L104" s="187"/>
      <c r="M104" s="188">
        <f t="shared" ref="M104:AB104" si="81">SUBTOTAL(9,M92:M103)</f>
        <v>45580.083400000003</v>
      </c>
      <c r="N104" s="188">
        <f t="shared" si="81"/>
        <v>1057.6723</v>
      </c>
      <c r="O104" s="188">
        <f t="shared" si="81"/>
        <v>781.97170000000006</v>
      </c>
      <c r="P104" s="183"/>
      <c r="Q104" s="183">
        <f t="shared" si="81"/>
        <v>652468604.05999994</v>
      </c>
      <c r="R104" s="183">
        <f t="shared" si="81"/>
        <v>130158344.97</v>
      </c>
      <c r="S104" s="185">
        <f t="shared" si="81"/>
        <v>365139160.90000004</v>
      </c>
      <c r="T104" s="183">
        <f t="shared" si="81"/>
        <v>10153654.08</v>
      </c>
      <c r="U104" s="183">
        <f t="shared" si="81"/>
        <v>7037745.3000000007</v>
      </c>
      <c r="V104" s="187">
        <f t="shared" si="81"/>
        <v>1164957509.3100002</v>
      </c>
      <c r="W104" s="187">
        <f t="shared" si="81"/>
        <v>602402191</v>
      </c>
      <c r="X104" s="183">
        <f t="shared" si="81"/>
        <v>562555318.30999994</v>
      </c>
      <c r="Y104" s="183">
        <f t="shared" si="81"/>
        <v>247484.82</v>
      </c>
      <c r="Z104" s="189">
        <f t="shared" si="81"/>
        <v>562802803.13</v>
      </c>
      <c r="AA104" s="187">
        <f t="shared" si="81"/>
        <v>519694337.82000005</v>
      </c>
      <c r="AB104" s="190">
        <f t="shared" si="81"/>
        <v>43108465.31000001</v>
      </c>
      <c r="AC104" s="191"/>
      <c r="AD104" s="192">
        <f t="shared" ref="AD104:AJ104" si="82">SUBTOTAL(9,AD92:AD103)</f>
        <v>0</v>
      </c>
      <c r="AE104" s="187">
        <f t="shared" si="82"/>
        <v>562802803.13</v>
      </c>
      <c r="AF104" s="192">
        <f t="shared" si="82"/>
        <v>0</v>
      </c>
      <c r="AG104" s="192">
        <f t="shared" si="82"/>
        <v>0</v>
      </c>
      <c r="AH104" s="187">
        <f t="shared" si="82"/>
        <v>0</v>
      </c>
      <c r="AI104" s="187">
        <f t="shared" si="82"/>
        <v>562802803.13</v>
      </c>
      <c r="AJ104" s="187">
        <f t="shared" si="82"/>
        <v>562802803.13</v>
      </c>
    </row>
    <row r="105" spans="1:36">
      <c r="A105" s="169"/>
      <c r="B105" s="170"/>
      <c r="C105" s="154"/>
      <c r="D105" s="171" t="s">
        <v>286</v>
      </c>
      <c r="E105" s="170"/>
      <c r="F105" s="170"/>
      <c r="G105" s="172"/>
      <c r="H105" s="173">
        <f>SUBTOTAL(9,H10:H104)</f>
        <v>0</v>
      </c>
      <c r="I105" s="173"/>
      <c r="J105" s="173">
        <f>SUBTOTAL(9,J10:J104)</f>
        <v>4134905</v>
      </c>
      <c r="K105" s="174"/>
      <c r="L105" s="174"/>
      <c r="M105" s="175">
        <f t="shared" ref="M105:AB105" si="83">SUBTOTAL(9,M10:M104)</f>
        <v>528208.60629999998</v>
      </c>
      <c r="N105" s="175">
        <f t="shared" si="83"/>
        <v>12180.969800000003</v>
      </c>
      <c r="O105" s="175">
        <f t="shared" si="83"/>
        <v>13478.278899999999</v>
      </c>
      <c r="P105" s="172"/>
      <c r="Q105" s="172">
        <f t="shared" si="83"/>
        <v>4964728570.8400002</v>
      </c>
      <c r="R105" s="172">
        <f t="shared" si="83"/>
        <v>980183695.65999985</v>
      </c>
      <c r="S105" s="176">
        <f t="shared" si="83"/>
        <v>4106342935.4699998</v>
      </c>
      <c r="T105" s="172">
        <f t="shared" si="83"/>
        <v>116937310.07999997</v>
      </c>
      <c r="U105" s="172">
        <f t="shared" si="83"/>
        <v>121304510.10000002</v>
      </c>
      <c r="V105" s="174">
        <f t="shared" si="83"/>
        <v>10289497022.149998</v>
      </c>
      <c r="W105" s="174">
        <f t="shared" si="83"/>
        <v>4459403341</v>
      </c>
      <c r="X105" s="172">
        <f t="shared" si="83"/>
        <v>5830093681.1499977</v>
      </c>
      <c r="Y105" s="172">
        <f t="shared" si="83"/>
        <v>89502913.969999999</v>
      </c>
      <c r="Z105" s="177">
        <f t="shared" si="83"/>
        <v>5919596595.1199961</v>
      </c>
      <c r="AA105" s="174">
        <f t="shared" si="83"/>
        <v>5448385774.4999981</v>
      </c>
      <c r="AB105" s="135">
        <f t="shared" si="83"/>
        <v>471210820.61999983</v>
      </c>
      <c r="AC105" s="178"/>
      <c r="AD105" s="179">
        <f t="shared" ref="AD105:AJ105" si="84">SUBTOTAL(9,AD10:AD104)</f>
        <v>0</v>
      </c>
      <c r="AE105" s="174">
        <f t="shared" si="84"/>
        <v>5919596595.1199961</v>
      </c>
      <c r="AF105" s="179">
        <f t="shared" si="84"/>
        <v>0</v>
      </c>
      <c r="AG105" s="179">
        <f t="shared" si="84"/>
        <v>0</v>
      </c>
      <c r="AH105" s="174">
        <f t="shared" si="84"/>
        <v>0</v>
      </c>
      <c r="AI105" s="174">
        <f t="shared" si="84"/>
        <v>5919596595.1199961</v>
      </c>
      <c r="AJ105" s="174">
        <f t="shared" si="84"/>
        <v>5919596595.1199961</v>
      </c>
    </row>
    <row r="106" spans="1:36">
      <c r="Y106" s="195"/>
      <c r="AA106" s="195"/>
    </row>
  </sheetData>
  <sheetProtection algorithmName="SHA-512" hashValue="KyNIWmlYnxkjLQ/R4XoXLKrqD0bHrTCAG4PLXmufq0Q7ff3lpEVfRrlhRySFelU+G/ib/eBsM60d4LeflvnyNw==" saltValue="8iiAKOvKpgHvG8WGTELe4Q==" spinCount="100000" sheet="1" objects="1" scenarios="1" autoFilter="0"/>
  <autoFilter ref="A9:AJ104" xr:uid="{286B893F-DC19-431E-91A9-BE889BC25A5C}"/>
  <mergeCells count="4">
    <mergeCell ref="G8:I8"/>
    <mergeCell ref="AA5:AC7"/>
    <mergeCell ref="AF5:AH7"/>
    <mergeCell ref="AI5:AJ7"/>
  </mergeCells>
  <conditionalFormatting sqref="AC10:AC105">
    <cfRule type="cellIs" dxfId="4" priority="5" operator="equal">
      <formula>"ผ่าน"</formula>
    </cfRule>
  </conditionalFormatting>
  <conditionalFormatting sqref="AC10:AC105">
    <cfRule type="containsText" dxfId="3" priority="1" operator="containsText" text="ไม่ผ่าน">
      <formula>NOT(ISERROR(SEARCH("ไม่ผ่าน",AC10)))</formula>
    </cfRule>
    <cfRule type="containsText" dxfId="2" priority="2" operator="containsText" text="ผ่าน">
      <formula>NOT(ISERROR(SEARCH("ผ่าน",AC10)))</formula>
    </cfRule>
    <cfRule type="containsText" dxfId="1" priority="3" operator="containsText" text="ไม่ผ่าน">
      <formula>NOT(ISERROR(SEARCH("ไม่ผ่าน",AC10)))</formula>
    </cfRule>
    <cfRule type="containsText" dxfId="0" priority="4" operator="containsText" text="ผ่าน">
      <formula>NOT(ISERROR(SEARCH("ผ่าน",AC10)))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5B7E-6C19-4F38-B915-D04F9D89B310}">
  <sheetPr codeName="Sheet7"/>
  <dimension ref="A1:H106"/>
  <sheetViews>
    <sheetView workbookViewId="0">
      <pane xSplit="3" ySplit="2" topLeftCell="D99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D4" sqref="D4"/>
    </sheetView>
  </sheetViews>
  <sheetFormatPr defaultColWidth="9" defaultRowHeight="12.5" outlineLevelRow="2"/>
  <cols>
    <col min="1" max="1" width="5.08984375" style="83" customWidth="1"/>
    <col min="2" max="2" width="8.36328125" style="83" customWidth="1"/>
    <col min="3" max="3" width="11.6328125" style="83" customWidth="1"/>
    <col min="4" max="4" width="5.08984375" style="83" customWidth="1"/>
    <col min="5" max="5" width="19.36328125" style="83" customWidth="1"/>
    <col min="6" max="6" width="6.6328125" style="83" customWidth="1"/>
    <col min="7" max="7" width="16.36328125" style="83" customWidth="1"/>
    <col min="8" max="8" width="17.90625" style="83" customWidth="1"/>
    <col min="9" max="16384" width="9" style="83"/>
  </cols>
  <sheetData>
    <row r="1" spans="1:8" ht="32.25" customHeight="1">
      <c r="A1" s="235" t="s">
        <v>355</v>
      </c>
      <c r="B1" s="235"/>
      <c r="C1" s="235"/>
      <c r="D1" s="235"/>
      <c r="E1" s="235"/>
      <c r="F1" s="235"/>
      <c r="G1" s="235"/>
      <c r="H1" s="235"/>
    </row>
    <row r="2" spans="1:8" ht="33" customHeight="1">
      <c r="A2" s="136" t="s">
        <v>221</v>
      </c>
      <c r="B2" s="136" t="s">
        <v>9</v>
      </c>
      <c r="C2" s="136" t="s">
        <v>278</v>
      </c>
      <c r="D2" s="136" t="s">
        <v>343</v>
      </c>
      <c r="E2" s="136" t="s">
        <v>344</v>
      </c>
      <c r="F2" s="136" t="s">
        <v>12</v>
      </c>
      <c r="G2" s="137" t="s">
        <v>330</v>
      </c>
      <c r="H2" s="85" t="s">
        <v>331</v>
      </c>
    </row>
    <row r="3" spans="1:8" ht="14.25" customHeight="1" outlineLevel="2">
      <c r="A3" s="199" t="s">
        <v>26</v>
      </c>
      <c r="B3" s="199" t="s">
        <v>27</v>
      </c>
      <c r="C3" s="199" t="s">
        <v>28</v>
      </c>
      <c r="D3" s="199" t="s">
        <v>29</v>
      </c>
      <c r="E3" s="199" t="s">
        <v>30</v>
      </c>
      <c r="F3" s="200" t="s">
        <v>19</v>
      </c>
      <c r="G3" s="140"/>
      <c r="H3" s="201"/>
    </row>
    <row r="4" spans="1:8" ht="14.25" customHeight="1" outlineLevel="2">
      <c r="A4" s="84" t="s">
        <v>26</v>
      </c>
      <c r="B4" s="84" t="s">
        <v>27</v>
      </c>
      <c r="C4" s="84" t="s">
        <v>28</v>
      </c>
      <c r="D4" s="84" t="s">
        <v>31</v>
      </c>
      <c r="E4" s="84" t="s">
        <v>32</v>
      </c>
      <c r="F4" s="138" t="s">
        <v>19</v>
      </c>
      <c r="G4" s="140"/>
      <c r="H4" s="139"/>
    </row>
    <row r="5" spans="1:8" ht="14.25" customHeight="1" outlineLevel="2">
      <c r="A5" s="84" t="s">
        <v>26</v>
      </c>
      <c r="B5" s="84" t="s">
        <v>27</v>
      </c>
      <c r="C5" s="84" t="s">
        <v>28</v>
      </c>
      <c r="D5" s="84" t="s">
        <v>33</v>
      </c>
      <c r="E5" s="84" t="s">
        <v>34</v>
      </c>
      <c r="F5" s="138" t="s">
        <v>19</v>
      </c>
      <c r="G5" s="140"/>
      <c r="H5" s="139"/>
    </row>
    <row r="6" spans="1:8" ht="14.25" customHeight="1" outlineLevel="2">
      <c r="A6" s="84" t="s">
        <v>26</v>
      </c>
      <c r="B6" s="84" t="s">
        <v>27</v>
      </c>
      <c r="C6" s="84" t="s">
        <v>28</v>
      </c>
      <c r="D6" s="84" t="s">
        <v>35</v>
      </c>
      <c r="E6" s="84" t="s">
        <v>36</v>
      </c>
      <c r="F6" s="138" t="s">
        <v>19</v>
      </c>
      <c r="G6" s="140"/>
      <c r="H6" s="139"/>
    </row>
    <row r="7" spans="1:8" ht="14.25" customHeight="1" outlineLevel="2">
      <c r="A7" s="84" t="s">
        <v>26</v>
      </c>
      <c r="B7" s="84" t="s">
        <v>27</v>
      </c>
      <c r="C7" s="84" t="s">
        <v>28</v>
      </c>
      <c r="D7" s="84" t="s">
        <v>37</v>
      </c>
      <c r="E7" s="84" t="s">
        <v>38</v>
      </c>
      <c r="F7" s="138" t="s">
        <v>19</v>
      </c>
      <c r="G7" s="140"/>
      <c r="H7" s="139"/>
    </row>
    <row r="8" spans="1:8" ht="14.25" customHeight="1" outlineLevel="2">
      <c r="A8" s="84" t="s">
        <v>26</v>
      </c>
      <c r="B8" s="84" t="s">
        <v>27</v>
      </c>
      <c r="C8" s="84" t="s">
        <v>28</v>
      </c>
      <c r="D8" s="84" t="s">
        <v>39</v>
      </c>
      <c r="E8" s="84" t="s">
        <v>40</v>
      </c>
      <c r="F8" s="138" t="s">
        <v>19</v>
      </c>
      <c r="G8" s="140"/>
      <c r="H8" s="139"/>
    </row>
    <row r="9" spans="1:8" ht="14.25" customHeight="1" outlineLevel="2">
      <c r="A9" s="84" t="s">
        <v>26</v>
      </c>
      <c r="B9" s="84" t="s">
        <v>27</v>
      </c>
      <c r="C9" s="84" t="s">
        <v>28</v>
      </c>
      <c r="D9" s="84" t="s">
        <v>41</v>
      </c>
      <c r="E9" s="84" t="s">
        <v>42</v>
      </c>
      <c r="F9" s="138" t="s">
        <v>19</v>
      </c>
      <c r="G9" s="140"/>
      <c r="H9" s="139"/>
    </row>
    <row r="10" spans="1:8" ht="14.25" customHeight="1" outlineLevel="2">
      <c r="A10" s="196" t="s">
        <v>26</v>
      </c>
      <c r="B10" s="196" t="s">
        <v>27</v>
      </c>
      <c r="C10" s="196" t="s">
        <v>28</v>
      </c>
      <c r="D10" s="196" t="s">
        <v>43</v>
      </c>
      <c r="E10" s="196" t="s">
        <v>44</v>
      </c>
      <c r="F10" s="197" t="s">
        <v>19</v>
      </c>
      <c r="G10" s="140"/>
      <c r="H10" s="198"/>
    </row>
    <row r="11" spans="1:8" ht="14.25" customHeight="1" outlineLevel="1">
      <c r="A11" s="203"/>
      <c r="B11" s="203"/>
      <c r="C11" s="204" t="s">
        <v>279</v>
      </c>
      <c r="D11" s="203"/>
      <c r="E11" s="203"/>
      <c r="F11" s="203"/>
      <c r="G11" s="206">
        <v>6056273.7599999998</v>
      </c>
      <c r="H11" s="205">
        <f>SUBTOTAL(9,H3:H10)</f>
        <v>0</v>
      </c>
    </row>
    <row r="12" spans="1:8" ht="14.25" customHeight="1" outlineLevel="2">
      <c r="A12" s="199" t="s">
        <v>26</v>
      </c>
      <c r="B12" s="199" t="s">
        <v>45</v>
      </c>
      <c r="C12" s="199" t="s">
        <v>46</v>
      </c>
      <c r="D12" s="199" t="s">
        <v>47</v>
      </c>
      <c r="E12" s="199" t="s">
        <v>48</v>
      </c>
      <c r="F12" s="200" t="s">
        <v>19</v>
      </c>
      <c r="G12" s="140"/>
      <c r="H12" s="201"/>
    </row>
    <row r="13" spans="1:8" ht="14.25" customHeight="1" outlineLevel="2">
      <c r="A13" s="84" t="s">
        <v>26</v>
      </c>
      <c r="B13" s="84" t="s">
        <v>45</v>
      </c>
      <c r="C13" s="84" t="s">
        <v>46</v>
      </c>
      <c r="D13" s="84" t="s">
        <v>49</v>
      </c>
      <c r="E13" s="84" t="s">
        <v>50</v>
      </c>
      <c r="F13" s="138" t="s">
        <v>19</v>
      </c>
      <c r="G13" s="140"/>
      <c r="H13" s="139"/>
    </row>
    <row r="14" spans="1:8" ht="14.25" customHeight="1" outlineLevel="2">
      <c r="A14" s="84" t="s">
        <v>26</v>
      </c>
      <c r="B14" s="84" t="s">
        <v>45</v>
      </c>
      <c r="C14" s="84" t="s">
        <v>46</v>
      </c>
      <c r="D14" s="84" t="s">
        <v>51</v>
      </c>
      <c r="E14" s="84" t="s">
        <v>52</v>
      </c>
      <c r="F14" s="138" t="s">
        <v>19</v>
      </c>
      <c r="G14" s="140"/>
      <c r="H14" s="139"/>
    </row>
    <row r="15" spans="1:8" ht="14.25" customHeight="1" outlineLevel="2">
      <c r="A15" s="84" t="s">
        <v>26</v>
      </c>
      <c r="B15" s="84" t="s">
        <v>45</v>
      </c>
      <c r="C15" s="84" t="s">
        <v>46</v>
      </c>
      <c r="D15" s="84" t="s">
        <v>53</v>
      </c>
      <c r="E15" s="84" t="s">
        <v>54</v>
      </c>
      <c r="F15" s="138" t="s">
        <v>19</v>
      </c>
      <c r="G15" s="140"/>
      <c r="H15" s="139"/>
    </row>
    <row r="16" spans="1:8" ht="14.25" customHeight="1" outlineLevel="2">
      <c r="A16" s="84" t="s">
        <v>26</v>
      </c>
      <c r="B16" s="84" t="s">
        <v>45</v>
      </c>
      <c r="C16" s="84" t="s">
        <v>46</v>
      </c>
      <c r="D16" s="84" t="s">
        <v>55</v>
      </c>
      <c r="E16" s="84" t="s">
        <v>56</v>
      </c>
      <c r="F16" s="138" t="s">
        <v>19</v>
      </c>
      <c r="G16" s="140"/>
      <c r="H16" s="139"/>
    </row>
    <row r="17" spans="1:8" ht="14.25" customHeight="1" outlineLevel="2">
      <c r="A17" s="84" t="s">
        <v>26</v>
      </c>
      <c r="B17" s="84" t="s">
        <v>45</v>
      </c>
      <c r="C17" s="84" t="s">
        <v>46</v>
      </c>
      <c r="D17" s="84" t="s">
        <v>57</v>
      </c>
      <c r="E17" s="84" t="s">
        <v>58</v>
      </c>
      <c r="F17" s="138" t="s">
        <v>19</v>
      </c>
      <c r="G17" s="140"/>
      <c r="H17" s="139"/>
    </row>
    <row r="18" spans="1:8" ht="14.25" customHeight="1" outlineLevel="2">
      <c r="A18" s="196" t="s">
        <v>26</v>
      </c>
      <c r="B18" s="196" t="s">
        <v>45</v>
      </c>
      <c r="C18" s="196" t="s">
        <v>46</v>
      </c>
      <c r="D18" s="196" t="s">
        <v>314</v>
      </c>
      <c r="E18" s="196" t="s">
        <v>315</v>
      </c>
      <c r="F18" s="197" t="s">
        <v>312</v>
      </c>
      <c r="G18" s="140"/>
      <c r="H18" s="198"/>
    </row>
    <row r="19" spans="1:8" ht="14.25" customHeight="1" outlineLevel="1">
      <c r="A19" s="203"/>
      <c r="B19" s="203"/>
      <c r="C19" s="204" t="s">
        <v>280</v>
      </c>
      <c r="D19" s="203"/>
      <c r="E19" s="203"/>
      <c r="F19" s="203"/>
      <c r="G19" s="206">
        <v>7744850.2300000004</v>
      </c>
      <c r="H19" s="205">
        <f>SUBTOTAL(9,H12:H18)</f>
        <v>0</v>
      </c>
    </row>
    <row r="20" spans="1:8" ht="14.25" customHeight="1" outlineLevel="2">
      <c r="A20" s="199" t="s">
        <v>26</v>
      </c>
      <c r="B20" s="199" t="s">
        <v>59</v>
      </c>
      <c r="C20" s="199" t="s">
        <v>60</v>
      </c>
      <c r="D20" s="199" t="s">
        <v>61</v>
      </c>
      <c r="E20" s="199" t="s">
        <v>62</v>
      </c>
      <c r="F20" s="200" t="s">
        <v>19</v>
      </c>
      <c r="G20" s="140"/>
      <c r="H20" s="201"/>
    </row>
    <row r="21" spans="1:8" ht="14.25" customHeight="1" outlineLevel="2">
      <c r="A21" s="84" t="s">
        <v>26</v>
      </c>
      <c r="B21" s="84" t="s">
        <v>59</v>
      </c>
      <c r="C21" s="84" t="s">
        <v>60</v>
      </c>
      <c r="D21" s="84" t="s">
        <v>63</v>
      </c>
      <c r="E21" s="84" t="s">
        <v>64</v>
      </c>
      <c r="F21" s="138" t="s">
        <v>19</v>
      </c>
      <c r="G21" s="140"/>
      <c r="H21" s="139"/>
    </row>
    <row r="22" spans="1:8" ht="14.25" customHeight="1" outlineLevel="2">
      <c r="A22" s="84" t="s">
        <v>26</v>
      </c>
      <c r="B22" s="84" t="s">
        <v>59</v>
      </c>
      <c r="C22" s="84" t="s">
        <v>60</v>
      </c>
      <c r="D22" s="84" t="s">
        <v>65</v>
      </c>
      <c r="E22" s="84" t="s">
        <v>66</v>
      </c>
      <c r="F22" s="138" t="s">
        <v>19</v>
      </c>
      <c r="G22" s="140"/>
      <c r="H22" s="139"/>
    </row>
    <row r="23" spans="1:8" ht="14.25" customHeight="1" outlineLevel="2">
      <c r="A23" s="84" t="s">
        <v>26</v>
      </c>
      <c r="B23" s="84" t="s">
        <v>59</v>
      </c>
      <c r="C23" s="84" t="s">
        <v>60</v>
      </c>
      <c r="D23" s="84" t="s">
        <v>67</v>
      </c>
      <c r="E23" s="84" t="s">
        <v>68</v>
      </c>
      <c r="F23" s="138" t="s">
        <v>19</v>
      </c>
      <c r="G23" s="140"/>
      <c r="H23" s="139"/>
    </row>
    <row r="24" spans="1:8" ht="14.25" customHeight="1" outlineLevel="2">
      <c r="A24" s="84" t="s">
        <v>26</v>
      </c>
      <c r="B24" s="84" t="s">
        <v>59</v>
      </c>
      <c r="C24" s="84" t="s">
        <v>60</v>
      </c>
      <c r="D24" s="84" t="s">
        <v>69</v>
      </c>
      <c r="E24" s="84" t="s">
        <v>70</v>
      </c>
      <c r="F24" s="138" t="s">
        <v>19</v>
      </c>
      <c r="G24" s="140"/>
      <c r="H24" s="139"/>
    </row>
    <row r="25" spans="1:8" ht="14.25" customHeight="1" outlineLevel="2">
      <c r="A25" s="84" t="s">
        <v>26</v>
      </c>
      <c r="B25" s="84" t="s">
        <v>59</v>
      </c>
      <c r="C25" s="84" t="s">
        <v>60</v>
      </c>
      <c r="D25" s="84" t="s">
        <v>71</v>
      </c>
      <c r="E25" s="84" t="s">
        <v>72</v>
      </c>
      <c r="F25" s="138" t="s">
        <v>19</v>
      </c>
      <c r="G25" s="140"/>
      <c r="H25" s="139"/>
    </row>
    <row r="26" spans="1:8" ht="14.25" customHeight="1" outlineLevel="2">
      <c r="A26" s="84" t="s">
        <v>26</v>
      </c>
      <c r="B26" s="84" t="s">
        <v>59</v>
      </c>
      <c r="C26" s="84" t="s">
        <v>60</v>
      </c>
      <c r="D26" s="84" t="s">
        <v>73</v>
      </c>
      <c r="E26" s="84" t="s">
        <v>74</v>
      </c>
      <c r="F26" s="138" t="s">
        <v>19</v>
      </c>
      <c r="G26" s="140"/>
      <c r="H26" s="139"/>
    </row>
    <row r="27" spans="1:8" ht="14.25" customHeight="1" outlineLevel="2">
      <c r="A27" s="84" t="s">
        <v>26</v>
      </c>
      <c r="B27" s="84" t="s">
        <v>59</v>
      </c>
      <c r="C27" s="84" t="s">
        <v>60</v>
      </c>
      <c r="D27" s="84" t="s">
        <v>75</v>
      </c>
      <c r="E27" s="84" t="s">
        <v>76</v>
      </c>
      <c r="F27" s="138" t="s">
        <v>19</v>
      </c>
      <c r="G27" s="140"/>
      <c r="H27" s="139"/>
    </row>
    <row r="28" spans="1:8" ht="14.25" customHeight="1" outlineLevel="2">
      <c r="A28" s="84" t="s">
        <v>26</v>
      </c>
      <c r="B28" s="84" t="s">
        <v>59</v>
      </c>
      <c r="C28" s="84" t="s">
        <v>60</v>
      </c>
      <c r="D28" s="84" t="s">
        <v>77</v>
      </c>
      <c r="E28" s="84" t="s">
        <v>78</v>
      </c>
      <c r="F28" s="138" t="s">
        <v>19</v>
      </c>
      <c r="G28" s="140"/>
      <c r="H28" s="139"/>
    </row>
    <row r="29" spans="1:8" ht="14.25" customHeight="1" outlineLevel="2">
      <c r="A29" s="84" t="s">
        <v>26</v>
      </c>
      <c r="B29" s="84" t="s">
        <v>59</v>
      </c>
      <c r="C29" s="84" t="s">
        <v>60</v>
      </c>
      <c r="D29" s="84" t="s">
        <v>79</v>
      </c>
      <c r="E29" s="84" t="s">
        <v>80</v>
      </c>
      <c r="F29" s="138" t="s">
        <v>19</v>
      </c>
      <c r="G29" s="140"/>
      <c r="H29" s="139"/>
    </row>
    <row r="30" spans="1:8" ht="14.25" customHeight="1" outlineLevel="2">
      <c r="A30" s="84" t="s">
        <v>26</v>
      </c>
      <c r="B30" s="84" t="s">
        <v>59</v>
      </c>
      <c r="C30" s="84" t="s">
        <v>60</v>
      </c>
      <c r="D30" s="84" t="s">
        <v>81</v>
      </c>
      <c r="E30" s="84" t="s">
        <v>82</v>
      </c>
      <c r="F30" s="138" t="s">
        <v>19</v>
      </c>
      <c r="G30" s="140"/>
      <c r="H30" s="139"/>
    </row>
    <row r="31" spans="1:8" ht="14.25" customHeight="1" outlineLevel="2">
      <c r="A31" s="84" t="s">
        <v>26</v>
      </c>
      <c r="B31" s="84" t="s">
        <v>59</v>
      </c>
      <c r="C31" s="84" t="s">
        <v>60</v>
      </c>
      <c r="D31" s="84" t="s">
        <v>83</v>
      </c>
      <c r="E31" s="84" t="s">
        <v>84</v>
      </c>
      <c r="F31" s="138" t="s">
        <v>19</v>
      </c>
      <c r="G31" s="140"/>
      <c r="H31" s="139"/>
    </row>
    <row r="32" spans="1:8" ht="14.25" customHeight="1" outlineLevel="2">
      <c r="A32" s="84" t="s">
        <v>26</v>
      </c>
      <c r="B32" s="84" t="s">
        <v>59</v>
      </c>
      <c r="C32" s="84" t="s">
        <v>60</v>
      </c>
      <c r="D32" s="84" t="s">
        <v>85</v>
      </c>
      <c r="E32" s="84" t="s">
        <v>86</v>
      </c>
      <c r="F32" s="138" t="s">
        <v>19</v>
      </c>
      <c r="G32" s="140"/>
      <c r="H32" s="139"/>
    </row>
    <row r="33" spans="1:8" ht="14.25" customHeight="1" outlineLevel="2">
      <c r="A33" s="84" t="s">
        <v>26</v>
      </c>
      <c r="B33" s="84" t="s">
        <v>59</v>
      </c>
      <c r="C33" s="84" t="s">
        <v>60</v>
      </c>
      <c r="D33" s="84" t="s">
        <v>87</v>
      </c>
      <c r="E33" s="84" t="s">
        <v>88</v>
      </c>
      <c r="F33" s="138" t="s">
        <v>19</v>
      </c>
      <c r="G33" s="140"/>
      <c r="H33" s="139"/>
    </row>
    <row r="34" spans="1:8" ht="14.25" customHeight="1" outlineLevel="2">
      <c r="A34" s="84" t="s">
        <v>26</v>
      </c>
      <c r="B34" s="84" t="s">
        <v>59</v>
      </c>
      <c r="C34" s="84" t="s">
        <v>60</v>
      </c>
      <c r="D34" s="84" t="s">
        <v>89</v>
      </c>
      <c r="E34" s="84" t="s">
        <v>90</v>
      </c>
      <c r="F34" s="138" t="s">
        <v>19</v>
      </c>
      <c r="G34" s="140"/>
      <c r="H34" s="139"/>
    </row>
    <row r="35" spans="1:8" ht="14.25" customHeight="1" outlineLevel="2">
      <c r="A35" s="84" t="s">
        <v>26</v>
      </c>
      <c r="B35" s="84" t="s">
        <v>59</v>
      </c>
      <c r="C35" s="84" t="s">
        <v>60</v>
      </c>
      <c r="D35" s="84" t="s">
        <v>91</v>
      </c>
      <c r="E35" s="84" t="s">
        <v>92</v>
      </c>
      <c r="F35" s="138" t="s">
        <v>19</v>
      </c>
      <c r="G35" s="140"/>
      <c r="H35" s="139"/>
    </row>
    <row r="36" spans="1:8" ht="14.25" customHeight="1" outlineLevel="2">
      <c r="A36" s="84" t="s">
        <v>26</v>
      </c>
      <c r="B36" s="84" t="s">
        <v>59</v>
      </c>
      <c r="C36" s="84" t="s">
        <v>60</v>
      </c>
      <c r="D36" s="84" t="s">
        <v>93</v>
      </c>
      <c r="E36" s="84" t="s">
        <v>94</v>
      </c>
      <c r="F36" s="138" t="s">
        <v>19</v>
      </c>
      <c r="G36" s="140"/>
      <c r="H36" s="139"/>
    </row>
    <row r="37" spans="1:8" ht="14.25" customHeight="1" outlineLevel="2">
      <c r="A37" s="84" t="s">
        <v>26</v>
      </c>
      <c r="B37" s="84" t="s">
        <v>59</v>
      </c>
      <c r="C37" s="84" t="s">
        <v>60</v>
      </c>
      <c r="D37" s="84" t="s">
        <v>95</v>
      </c>
      <c r="E37" s="84" t="s">
        <v>96</v>
      </c>
      <c r="F37" s="138" t="s">
        <v>19</v>
      </c>
      <c r="G37" s="140"/>
      <c r="H37" s="139"/>
    </row>
    <row r="38" spans="1:8" ht="14.25" customHeight="1" outlineLevel="2">
      <c r="A38" s="84" t="s">
        <v>26</v>
      </c>
      <c r="B38" s="84" t="s">
        <v>59</v>
      </c>
      <c r="C38" s="84" t="s">
        <v>60</v>
      </c>
      <c r="D38" s="84" t="s">
        <v>97</v>
      </c>
      <c r="E38" s="84" t="s">
        <v>98</v>
      </c>
      <c r="F38" s="138" t="s">
        <v>19</v>
      </c>
      <c r="G38" s="140"/>
      <c r="H38" s="139"/>
    </row>
    <row r="39" spans="1:8" ht="14.25" customHeight="1" outlineLevel="2">
      <c r="A39" s="84" t="s">
        <v>26</v>
      </c>
      <c r="B39" s="84" t="s">
        <v>59</v>
      </c>
      <c r="C39" s="84" t="s">
        <v>60</v>
      </c>
      <c r="D39" s="84" t="s">
        <v>99</v>
      </c>
      <c r="E39" s="84" t="s">
        <v>100</v>
      </c>
      <c r="F39" s="138" t="s">
        <v>19</v>
      </c>
      <c r="G39" s="140"/>
      <c r="H39" s="139"/>
    </row>
    <row r="40" spans="1:8" ht="14.25" customHeight="1" outlineLevel="2">
      <c r="A40" s="84" t="s">
        <v>26</v>
      </c>
      <c r="B40" s="84" t="s">
        <v>59</v>
      </c>
      <c r="C40" s="84" t="s">
        <v>60</v>
      </c>
      <c r="D40" s="84" t="s">
        <v>101</v>
      </c>
      <c r="E40" s="84" t="s">
        <v>102</v>
      </c>
      <c r="F40" s="138" t="s">
        <v>19</v>
      </c>
      <c r="G40" s="140"/>
      <c r="H40" s="139"/>
    </row>
    <row r="41" spans="1:8" ht="14.25" customHeight="1" outlineLevel="2">
      <c r="A41" s="84" t="s">
        <v>26</v>
      </c>
      <c r="B41" s="84" t="s">
        <v>59</v>
      </c>
      <c r="C41" s="84" t="s">
        <v>60</v>
      </c>
      <c r="D41" s="84" t="s">
        <v>316</v>
      </c>
      <c r="E41" s="84" t="s">
        <v>317</v>
      </c>
      <c r="F41" s="138" t="s">
        <v>311</v>
      </c>
      <c r="G41" s="140"/>
      <c r="H41" s="139"/>
    </row>
    <row r="42" spans="1:8" ht="14.25" customHeight="1" outlineLevel="2">
      <c r="A42" s="84" t="s">
        <v>26</v>
      </c>
      <c r="B42" s="84" t="s">
        <v>59</v>
      </c>
      <c r="C42" s="84" t="s">
        <v>60</v>
      </c>
      <c r="D42" s="84" t="s">
        <v>318</v>
      </c>
      <c r="E42" s="84" t="s">
        <v>319</v>
      </c>
      <c r="F42" s="138" t="s">
        <v>311</v>
      </c>
      <c r="G42" s="140"/>
      <c r="H42" s="139"/>
    </row>
    <row r="43" spans="1:8" ht="14.25" customHeight="1" outlineLevel="2">
      <c r="A43" s="196" t="s">
        <v>26</v>
      </c>
      <c r="B43" s="196" t="s">
        <v>59</v>
      </c>
      <c r="C43" s="196" t="s">
        <v>60</v>
      </c>
      <c r="D43" s="196" t="s">
        <v>320</v>
      </c>
      <c r="E43" s="196" t="s">
        <v>321</v>
      </c>
      <c r="F43" s="197" t="s">
        <v>313</v>
      </c>
      <c r="G43" s="140"/>
      <c r="H43" s="198"/>
    </row>
    <row r="44" spans="1:8" ht="14.25" customHeight="1" outlineLevel="1">
      <c r="A44" s="203"/>
      <c r="B44" s="203"/>
      <c r="C44" s="204" t="s">
        <v>281</v>
      </c>
      <c r="D44" s="203"/>
      <c r="E44" s="203"/>
      <c r="F44" s="203"/>
      <c r="G44" s="206">
        <v>31607063.149999999</v>
      </c>
      <c r="H44" s="205">
        <f>SUBTOTAL(9,H20:H43)</f>
        <v>0</v>
      </c>
    </row>
    <row r="45" spans="1:8" ht="14.25" customHeight="1" outlineLevel="2">
      <c r="A45" s="199" t="s">
        <v>26</v>
      </c>
      <c r="B45" s="199" t="s">
        <v>103</v>
      </c>
      <c r="C45" s="199" t="s">
        <v>104</v>
      </c>
      <c r="D45" s="199" t="s">
        <v>105</v>
      </c>
      <c r="E45" s="199" t="s">
        <v>106</v>
      </c>
      <c r="F45" s="200" t="s">
        <v>19</v>
      </c>
      <c r="G45" s="140"/>
      <c r="H45" s="201"/>
    </row>
    <row r="46" spans="1:8" ht="14.25" customHeight="1" outlineLevel="2">
      <c r="A46" s="84" t="s">
        <v>26</v>
      </c>
      <c r="B46" s="84" t="s">
        <v>103</v>
      </c>
      <c r="C46" s="84" t="s">
        <v>104</v>
      </c>
      <c r="D46" s="84" t="s">
        <v>107</v>
      </c>
      <c r="E46" s="84" t="s">
        <v>108</v>
      </c>
      <c r="F46" s="138" t="s">
        <v>19</v>
      </c>
      <c r="G46" s="140"/>
      <c r="H46" s="139"/>
    </row>
    <row r="47" spans="1:8" ht="14.25" customHeight="1" outlineLevel="2">
      <c r="A47" s="84" t="s">
        <v>26</v>
      </c>
      <c r="B47" s="84" t="s">
        <v>103</v>
      </c>
      <c r="C47" s="84" t="s">
        <v>104</v>
      </c>
      <c r="D47" s="84" t="s">
        <v>109</v>
      </c>
      <c r="E47" s="84" t="s">
        <v>110</v>
      </c>
      <c r="F47" s="138" t="s">
        <v>19</v>
      </c>
      <c r="G47" s="140"/>
      <c r="H47" s="139"/>
    </row>
    <row r="48" spans="1:8" ht="14.25" customHeight="1" outlineLevel="2">
      <c r="A48" s="84" t="s">
        <v>26</v>
      </c>
      <c r="B48" s="84" t="s">
        <v>103</v>
      </c>
      <c r="C48" s="84" t="s">
        <v>104</v>
      </c>
      <c r="D48" s="84" t="s">
        <v>111</v>
      </c>
      <c r="E48" s="84" t="s">
        <v>112</v>
      </c>
      <c r="F48" s="138" t="s">
        <v>19</v>
      </c>
      <c r="G48" s="140"/>
      <c r="H48" s="139"/>
    </row>
    <row r="49" spans="1:8" ht="14.25" customHeight="1" outlineLevel="2">
      <c r="A49" s="84" t="s">
        <v>26</v>
      </c>
      <c r="B49" s="84" t="s">
        <v>103</v>
      </c>
      <c r="C49" s="84" t="s">
        <v>104</v>
      </c>
      <c r="D49" s="84" t="s">
        <v>113</v>
      </c>
      <c r="E49" s="84" t="s">
        <v>114</v>
      </c>
      <c r="F49" s="138" t="s">
        <v>19</v>
      </c>
      <c r="G49" s="140"/>
      <c r="H49" s="139"/>
    </row>
    <row r="50" spans="1:8" ht="14.25" customHeight="1" outlineLevel="2">
      <c r="A50" s="84" t="s">
        <v>26</v>
      </c>
      <c r="B50" s="84" t="s">
        <v>103</v>
      </c>
      <c r="C50" s="84" t="s">
        <v>104</v>
      </c>
      <c r="D50" s="84" t="s">
        <v>115</v>
      </c>
      <c r="E50" s="84" t="s">
        <v>116</v>
      </c>
      <c r="F50" s="138" t="s">
        <v>19</v>
      </c>
      <c r="G50" s="140"/>
      <c r="H50" s="139"/>
    </row>
    <row r="51" spans="1:8" ht="14.25" customHeight="1" outlineLevel="2">
      <c r="A51" s="84" t="s">
        <v>26</v>
      </c>
      <c r="B51" s="84" t="s">
        <v>103</v>
      </c>
      <c r="C51" s="84" t="s">
        <v>104</v>
      </c>
      <c r="D51" s="84" t="s">
        <v>117</v>
      </c>
      <c r="E51" s="84" t="s">
        <v>118</v>
      </c>
      <c r="F51" s="138" t="s">
        <v>19</v>
      </c>
      <c r="G51" s="140"/>
      <c r="H51" s="139"/>
    </row>
    <row r="52" spans="1:8" ht="14.25" customHeight="1" outlineLevel="2">
      <c r="A52" s="84" t="s">
        <v>26</v>
      </c>
      <c r="B52" s="84" t="s">
        <v>103</v>
      </c>
      <c r="C52" s="84" t="s">
        <v>104</v>
      </c>
      <c r="D52" s="84" t="s">
        <v>119</v>
      </c>
      <c r="E52" s="84" t="s">
        <v>120</v>
      </c>
      <c r="F52" s="138" t="s">
        <v>19</v>
      </c>
      <c r="G52" s="140"/>
      <c r="H52" s="139"/>
    </row>
    <row r="53" spans="1:8" ht="14.25" customHeight="1" outlineLevel="2">
      <c r="A53" s="84" t="s">
        <v>26</v>
      </c>
      <c r="B53" s="84" t="s">
        <v>103</v>
      </c>
      <c r="C53" s="84" t="s">
        <v>104</v>
      </c>
      <c r="D53" s="84" t="s">
        <v>121</v>
      </c>
      <c r="E53" s="84" t="s">
        <v>122</v>
      </c>
      <c r="F53" s="138" t="s">
        <v>19</v>
      </c>
      <c r="G53" s="140"/>
      <c r="H53" s="139"/>
    </row>
    <row r="54" spans="1:8" ht="14.25" customHeight="1" outlineLevel="2">
      <c r="A54" s="84" t="s">
        <v>26</v>
      </c>
      <c r="B54" s="84" t="s">
        <v>103</v>
      </c>
      <c r="C54" s="84" t="s">
        <v>104</v>
      </c>
      <c r="D54" s="84" t="s">
        <v>123</v>
      </c>
      <c r="E54" s="84" t="s">
        <v>124</v>
      </c>
      <c r="F54" s="138" t="s">
        <v>19</v>
      </c>
      <c r="G54" s="140"/>
      <c r="H54" s="139"/>
    </row>
    <row r="55" spans="1:8" ht="14.25" customHeight="1" outlineLevel="2">
      <c r="A55" s="84" t="s">
        <v>26</v>
      </c>
      <c r="B55" s="84" t="s">
        <v>103</v>
      </c>
      <c r="C55" s="84" t="s">
        <v>104</v>
      </c>
      <c r="D55" s="84" t="s">
        <v>125</v>
      </c>
      <c r="E55" s="84" t="s">
        <v>126</v>
      </c>
      <c r="F55" s="138" t="s">
        <v>19</v>
      </c>
      <c r="G55" s="140"/>
      <c r="H55" s="139"/>
    </row>
    <row r="56" spans="1:8" ht="14.25" customHeight="1" outlineLevel="2">
      <c r="A56" s="84" t="s">
        <v>26</v>
      </c>
      <c r="B56" s="84" t="s">
        <v>103</v>
      </c>
      <c r="C56" s="84" t="s">
        <v>104</v>
      </c>
      <c r="D56" s="84" t="s">
        <v>127</v>
      </c>
      <c r="E56" s="84" t="s">
        <v>128</v>
      </c>
      <c r="F56" s="138" t="s">
        <v>19</v>
      </c>
      <c r="G56" s="140"/>
      <c r="H56" s="139"/>
    </row>
    <row r="57" spans="1:8" ht="14.25" customHeight="1" outlineLevel="2">
      <c r="A57" s="84" t="s">
        <v>26</v>
      </c>
      <c r="B57" s="84" t="s">
        <v>103</v>
      </c>
      <c r="C57" s="84" t="s">
        <v>104</v>
      </c>
      <c r="D57" s="84" t="s">
        <v>129</v>
      </c>
      <c r="E57" s="84" t="s">
        <v>130</v>
      </c>
      <c r="F57" s="138" t="s">
        <v>19</v>
      </c>
      <c r="G57" s="140"/>
      <c r="H57" s="139"/>
    </row>
    <row r="58" spans="1:8" ht="14.25" customHeight="1" outlineLevel="2">
      <c r="A58" s="84" t="s">
        <v>26</v>
      </c>
      <c r="B58" s="84" t="s">
        <v>103</v>
      </c>
      <c r="C58" s="84" t="s">
        <v>104</v>
      </c>
      <c r="D58" s="84" t="s">
        <v>131</v>
      </c>
      <c r="E58" s="84" t="s">
        <v>132</v>
      </c>
      <c r="F58" s="138" t="s">
        <v>19</v>
      </c>
      <c r="G58" s="140"/>
      <c r="H58" s="139"/>
    </row>
    <row r="59" spans="1:8" ht="14.25" customHeight="1" outlineLevel="2">
      <c r="A59" s="196" t="s">
        <v>26</v>
      </c>
      <c r="B59" s="196" t="s">
        <v>103</v>
      </c>
      <c r="C59" s="196" t="s">
        <v>104</v>
      </c>
      <c r="D59" s="196" t="s">
        <v>322</v>
      </c>
      <c r="E59" s="196" t="s">
        <v>323</v>
      </c>
      <c r="F59" s="197" t="s">
        <v>311</v>
      </c>
      <c r="G59" s="140"/>
      <c r="H59" s="198"/>
    </row>
    <row r="60" spans="1:8" ht="14.25" customHeight="1" outlineLevel="1">
      <c r="A60" s="203"/>
      <c r="B60" s="203"/>
      <c r="C60" s="204" t="s">
        <v>282</v>
      </c>
      <c r="D60" s="203"/>
      <c r="E60" s="203"/>
      <c r="F60" s="203"/>
      <c r="G60" s="206">
        <v>13255818.869999999</v>
      </c>
      <c r="H60" s="205">
        <f>SUBTOTAL(9,H45:H59)</f>
        <v>0</v>
      </c>
    </row>
    <row r="61" spans="1:8" ht="14.25" customHeight="1" outlineLevel="2">
      <c r="A61" s="199" t="s">
        <v>26</v>
      </c>
      <c r="B61" s="199" t="s">
        <v>133</v>
      </c>
      <c r="C61" s="199" t="s">
        <v>134</v>
      </c>
      <c r="D61" s="199" t="s">
        <v>135</v>
      </c>
      <c r="E61" s="199" t="s">
        <v>136</v>
      </c>
      <c r="F61" s="200" t="s">
        <v>19</v>
      </c>
      <c r="G61" s="140"/>
      <c r="H61" s="201"/>
    </row>
    <row r="62" spans="1:8" ht="14.25" customHeight="1" outlineLevel="2">
      <c r="A62" s="84" t="s">
        <v>26</v>
      </c>
      <c r="B62" s="84" t="s">
        <v>133</v>
      </c>
      <c r="C62" s="84" t="s">
        <v>134</v>
      </c>
      <c r="D62" s="84" t="s">
        <v>137</v>
      </c>
      <c r="E62" s="84" t="s">
        <v>138</v>
      </c>
      <c r="F62" s="138" t="s">
        <v>19</v>
      </c>
      <c r="G62" s="140"/>
      <c r="H62" s="139"/>
    </row>
    <row r="63" spans="1:8" ht="14.25" customHeight="1" outlineLevel="2">
      <c r="A63" s="84" t="s">
        <v>26</v>
      </c>
      <c r="B63" s="84" t="s">
        <v>133</v>
      </c>
      <c r="C63" s="84" t="s">
        <v>134</v>
      </c>
      <c r="D63" s="84" t="s">
        <v>139</v>
      </c>
      <c r="E63" s="84" t="s">
        <v>140</v>
      </c>
      <c r="F63" s="138" t="s">
        <v>19</v>
      </c>
      <c r="G63" s="140"/>
      <c r="H63" s="139"/>
    </row>
    <row r="64" spans="1:8" ht="14.25" customHeight="1" outlineLevel="2">
      <c r="A64" s="84" t="s">
        <v>26</v>
      </c>
      <c r="B64" s="84" t="s">
        <v>133</v>
      </c>
      <c r="C64" s="84" t="s">
        <v>134</v>
      </c>
      <c r="D64" s="84" t="s">
        <v>141</v>
      </c>
      <c r="E64" s="84" t="s">
        <v>142</v>
      </c>
      <c r="F64" s="138" t="s">
        <v>19</v>
      </c>
      <c r="G64" s="140"/>
      <c r="H64" s="139"/>
    </row>
    <row r="65" spans="1:8" ht="14.25" customHeight="1" outlineLevel="2">
      <c r="A65" s="84" t="s">
        <v>26</v>
      </c>
      <c r="B65" s="84" t="s">
        <v>133</v>
      </c>
      <c r="C65" s="84" t="s">
        <v>134</v>
      </c>
      <c r="D65" s="84" t="s">
        <v>143</v>
      </c>
      <c r="E65" s="84" t="s">
        <v>144</v>
      </c>
      <c r="F65" s="138" t="s">
        <v>19</v>
      </c>
      <c r="G65" s="140"/>
      <c r="H65" s="139"/>
    </row>
    <row r="66" spans="1:8" ht="14.25" customHeight="1" outlineLevel="2">
      <c r="A66" s="84" t="s">
        <v>26</v>
      </c>
      <c r="B66" s="84" t="s">
        <v>133</v>
      </c>
      <c r="C66" s="84" t="s">
        <v>134</v>
      </c>
      <c r="D66" s="84" t="s">
        <v>145</v>
      </c>
      <c r="E66" s="84" t="s">
        <v>146</v>
      </c>
      <c r="F66" s="138" t="s">
        <v>19</v>
      </c>
      <c r="G66" s="140"/>
      <c r="H66" s="139"/>
    </row>
    <row r="67" spans="1:8" ht="14.25" customHeight="1" outlineLevel="2">
      <c r="A67" s="84" t="s">
        <v>26</v>
      </c>
      <c r="B67" s="84" t="s">
        <v>133</v>
      </c>
      <c r="C67" s="84" t="s">
        <v>134</v>
      </c>
      <c r="D67" s="84" t="s">
        <v>147</v>
      </c>
      <c r="E67" s="84" t="s">
        <v>148</v>
      </c>
      <c r="F67" s="138" t="s">
        <v>19</v>
      </c>
      <c r="G67" s="140"/>
      <c r="H67" s="139"/>
    </row>
    <row r="68" spans="1:8" ht="14.25" customHeight="1" outlineLevel="2">
      <c r="A68" s="84" t="s">
        <v>26</v>
      </c>
      <c r="B68" s="84" t="s">
        <v>133</v>
      </c>
      <c r="C68" s="84" t="s">
        <v>134</v>
      </c>
      <c r="D68" s="84" t="s">
        <v>149</v>
      </c>
      <c r="E68" s="84" t="s">
        <v>150</v>
      </c>
      <c r="F68" s="138" t="s">
        <v>19</v>
      </c>
      <c r="G68" s="140"/>
      <c r="H68" s="139"/>
    </row>
    <row r="69" spans="1:8" ht="14.25" customHeight="1" outlineLevel="2">
      <c r="A69" s="84" t="s">
        <v>26</v>
      </c>
      <c r="B69" s="84" t="s">
        <v>133</v>
      </c>
      <c r="C69" s="84" t="s">
        <v>134</v>
      </c>
      <c r="D69" s="84" t="s">
        <v>151</v>
      </c>
      <c r="E69" s="84" t="s">
        <v>152</v>
      </c>
      <c r="F69" s="138" t="s">
        <v>19</v>
      </c>
      <c r="G69" s="140"/>
      <c r="H69" s="139"/>
    </row>
    <row r="70" spans="1:8" ht="14.25" customHeight="1" outlineLevel="2">
      <c r="A70" s="196" t="s">
        <v>26</v>
      </c>
      <c r="B70" s="196" t="s">
        <v>133</v>
      </c>
      <c r="C70" s="196" t="s">
        <v>134</v>
      </c>
      <c r="D70" s="196" t="s">
        <v>324</v>
      </c>
      <c r="E70" s="196" t="s">
        <v>325</v>
      </c>
      <c r="F70" s="197" t="s">
        <v>312</v>
      </c>
      <c r="G70" s="140"/>
      <c r="H70" s="198"/>
    </row>
    <row r="71" spans="1:8" ht="14.25" customHeight="1" outlineLevel="1">
      <c r="A71" s="203"/>
      <c r="B71" s="203"/>
      <c r="C71" s="204" t="s">
        <v>283</v>
      </c>
      <c r="D71" s="203"/>
      <c r="E71" s="203"/>
      <c r="F71" s="203"/>
      <c r="G71" s="206">
        <v>9864755.8100000005</v>
      </c>
      <c r="H71" s="205">
        <f>SUBTOTAL(9,H61:H70)</f>
        <v>0</v>
      </c>
    </row>
    <row r="72" spans="1:8" ht="14.25" customHeight="1" outlineLevel="2">
      <c r="A72" s="199" t="s">
        <v>26</v>
      </c>
      <c r="B72" s="199" t="s">
        <v>153</v>
      </c>
      <c r="C72" s="199" t="s">
        <v>154</v>
      </c>
      <c r="D72" s="199" t="s">
        <v>155</v>
      </c>
      <c r="E72" s="199" t="s">
        <v>156</v>
      </c>
      <c r="F72" s="200" t="s">
        <v>19</v>
      </c>
      <c r="G72" s="140"/>
      <c r="H72" s="201"/>
    </row>
    <row r="73" spans="1:8" ht="14.25" customHeight="1" outlineLevel="2">
      <c r="A73" s="84" t="s">
        <v>26</v>
      </c>
      <c r="B73" s="84" t="s">
        <v>153</v>
      </c>
      <c r="C73" s="84" t="s">
        <v>154</v>
      </c>
      <c r="D73" s="84" t="s">
        <v>157</v>
      </c>
      <c r="E73" s="84" t="s">
        <v>158</v>
      </c>
      <c r="F73" s="138" t="s">
        <v>19</v>
      </c>
      <c r="G73" s="140"/>
      <c r="H73" s="139"/>
    </row>
    <row r="74" spans="1:8" ht="14.25" customHeight="1" outlineLevel="2">
      <c r="A74" s="84" t="s">
        <v>26</v>
      </c>
      <c r="B74" s="84" t="s">
        <v>153</v>
      </c>
      <c r="C74" s="84" t="s">
        <v>154</v>
      </c>
      <c r="D74" s="84" t="s">
        <v>159</v>
      </c>
      <c r="E74" s="84" t="s">
        <v>160</v>
      </c>
      <c r="F74" s="138" t="s">
        <v>19</v>
      </c>
      <c r="G74" s="140"/>
      <c r="H74" s="139"/>
    </row>
    <row r="75" spans="1:8" ht="14.25" customHeight="1" outlineLevel="2">
      <c r="A75" s="84" t="s">
        <v>26</v>
      </c>
      <c r="B75" s="84" t="s">
        <v>153</v>
      </c>
      <c r="C75" s="84" t="s">
        <v>154</v>
      </c>
      <c r="D75" s="84" t="s">
        <v>161</v>
      </c>
      <c r="E75" s="84" t="s">
        <v>162</v>
      </c>
      <c r="F75" s="138" t="s">
        <v>19</v>
      </c>
      <c r="G75" s="140"/>
      <c r="H75" s="139"/>
    </row>
    <row r="76" spans="1:8" ht="14.25" customHeight="1" outlineLevel="2">
      <c r="A76" s="84" t="s">
        <v>26</v>
      </c>
      <c r="B76" s="84" t="s">
        <v>153</v>
      </c>
      <c r="C76" s="84" t="s">
        <v>154</v>
      </c>
      <c r="D76" s="84" t="s">
        <v>163</v>
      </c>
      <c r="E76" s="84" t="s">
        <v>164</v>
      </c>
      <c r="F76" s="138" t="s">
        <v>19</v>
      </c>
      <c r="G76" s="140"/>
      <c r="H76" s="139"/>
    </row>
    <row r="77" spans="1:8" ht="14.25" customHeight="1" outlineLevel="2">
      <c r="A77" s="84" t="s">
        <v>26</v>
      </c>
      <c r="B77" s="84" t="s">
        <v>153</v>
      </c>
      <c r="C77" s="84" t="s">
        <v>154</v>
      </c>
      <c r="D77" s="84" t="s">
        <v>165</v>
      </c>
      <c r="E77" s="84" t="s">
        <v>166</v>
      </c>
      <c r="F77" s="138" t="s">
        <v>19</v>
      </c>
      <c r="G77" s="140"/>
      <c r="H77" s="139"/>
    </row>
    <row r="78" spans="1:8" ht="14.25" customHeight="1" outlineLevel="2">
      <c r="A78" s="84" t="s">
        <v>26</v>
      </c>
      <c r="B78" s="84" t="s">
        <v>153</v>
      </c>
      <c r="C78" s="84" t="s">
        <v>154</v>
      </c>
      <c r="D78" s="84" t="s">
        <v>167</v>
      </c>
      <c r="E78" s="84" t="s">
        <v>168</v>
      </c>
      <c r="F78" s="138" t="s">
        <v>19</v>
      </c>
      <c r="G78" s="140"/>
      <c r="H78" s="139"/>
    </row>
    <row r="79" spans="1:8" ht="14.25" customHeight="1" outlineLevel="2">
      <c r="A79" s="84" t="s">
        <v>26</v>
      </c>
      <c r="B79" s="84" t="s">
        <v>153</v>
      </c>
      <c r="C79" s="84" t="s">
        <v>154</v>
      </c>
      <c r="D79" s="84" t="s">
        <v>169</v>
      </c>
      <c r="E79" s="84" t="s">
        <v>170</v>
      </c>
      <c r="F79" s="138" t="s">
        <v>19</v>
      </c>
      <c r="G79" s="140"/>
      <c r="H79" s="139"/>
    </row>
    <row r="80" spans="1:8" ht="14.25" customHeight="1" outlineLevel="2">
      <c r="A80" s="84" t="s">
        <v>26</v>
      </c>
      <c r="B80" s="84" t="s">
        <v>153</v>
      </c>
      <c r="C80" s="84" t="s">
        <v>154</v>
      </c>
      <c r="D80" s="84" t="s">
        <v>171</v>
      </c>
      <c r="E80" s="84" t="s">
        <v>172</v>
      </c>
      <c r="F80" s="138" t="s">
        <v>19</v>
      </c>
      <c r="G80" s="140"/>
      <c r="H80" s="139"/>
    </row>
    <row r="81" spans="1:8" ht="14.25" customHeight="1" outlineLevel="2">
      <c r="A81" s="84" t="s">
        <v>26</v>
      </c>
      <c r="B81" s="84" t="s">
        <v>153</v>
      </c>
      <c r="C81" s="84" t="s">
        <v>154</v>
      </c>
      <c r="D81" s="84" t="s">
        <v>173</v>
      </c>
      <c r="E81" s="84" t="s">
        <v>174</v>
      </c>
      <c r="F81" s="138" t="s">
        <v>19</v>
      </c>
      <c r="G81" s="140"/>
      <c r="H81" s="139"/>
    </row>
    <row r="82" spans="1:8" ht="14.25" customHeight="1" outlineLevel="2">
      <c r="A82" s="84" t="s">
        <v>26</v>
      </c>
      <c r="B82" s="84" t="s">
        <v>153</v>
      </c>
      <c r="C82" s="84" t="s">
        <v>154</v>
      </c>
      <c r="D82" s="84" t="s">
        <v>175</v>
      </c>
      <c r="E82" s="84" t="s">
        <v>176</v>
      </c>
      <c r="F82" s="138" t="s">
        <v>19</v>
      </c>
      <c r="G82" s="140"/>
      <c r="H82" s="139"/>
    </row>
    <row r="83" spans="1:8" ht="14.25" customHeight="1" outlineLevel="2">
      <c r="A83" s="84" t="s">
        <v>26</v>
      </c>
      <c r="B83" s="84" t="s">
        <v>153</v>
      </c>
      <c r="C83" s="84" t="s">
        <v>154</v>
      </c>
      <c r="D83" s="84" t="s">
        <v>177</v>
      </c>
      <c r="E83" s="84" t="s">
        <v>178</v>
      </c>
      <c r="F83" s="138" t="s">
        <v>19</v>
      </c>
      <c r="G83" s="140"/>
      <c r="H83" s="139"/>
    </row>
    <row r="84" spans="1:8" ht="14.25" customHeight="1" outlineLevel="2">
      <c r="A84" s="84" t="s">
        <v>26</v>
      </c>
      <c r="B84" s="84" t="s">
        <v>153</v>
      </c>
      <c r="C84" s="84" t="s">
        <v>154</v>
      </c>
      <c r="D84" s="84" t="s">
        <v>179</v>
      </c>
      <c r="E84" s="84" t="s">
        <v>180</v>
      </c>
      <c r="F84" s="138" t="s">
        <v>19</v>
      </c>
      <c r="G84" s="140"/>
      <c r="H84" s="139"/>
    </row>
    <row r="85" spans="1:8" ht="14.25" customHeight="1" outlineLevel="2">
      <c r="A85" s="84" t="s">
        <v>26</v>
      </c>
      <c r="B85" s="84" t="s">
        <v>153</v>
      </c>
      <c r="C85" s="84" t="s">
        <v>154</v>
      </c>
      <c r="D85" s="84" t="s">
        <v>181</v>
      </c>
      <c r="E85" s="84" t="s">
        <v>182</v>
      </c>
      <c r="F85" s="138" t="s">
        <v>19</v>
      </c>
      <c r="G85" s="140"/>
      <c r="H85" s="139"/>
    </row>
    <row r="86" spans="1:8" ht="14.25" customHeight="1" outlineLevel="2">
      <c r="A86" s="84" t="s">
        <v>26</v>
      </c>
      <c r="B86" s="84" t="s">
        <v>153</v>
      </c>
      <c r="C86" s="84" t="s">
        <v>154</v>
      </c>
      <c r="D86" s="84" t="s">
        <v>183</v>
      </c>
      <c r="E86" s="84" t="s">
        <v>184</v>
      </c>
      <c r="F86" s="138" t="s">
        <v>19</v>
      </c>
      <c r="G86" s="140"/>
      <c r="H86" s="139"/>
    </row>
    <row r="87" spans="1:8" ht="14.25" customHeight="1" outlineLevel="2">
      <c r="A87" s="84" t="s">
        <v>26</v>
      </c>
      <c r="B87" s="84" t="s">
        <v>153</v>
      </c>
      <c r="C87" s="84" t="s">
        <v>154</v>
      </c>
      <c r="D87" s="84" t="s">
        <v>185</v>
      </c>
      <c r="E87" s="84" t="s">
        <v>186</v>
      </c>
      <c r="F87" s="138" t="s">
        <v>19</v>
      </c>
      <c r="G87" s="140"/>
      <c r="H87" s="139"/>
    </row>
    <row r="88" spans="1:8" ht="14.25" customHeight="1" outlineLevel="2">
      <c r="A88" s="84" t="s">
        <v>26</v>
      </c>
      <c r="B88" s="84" t="s">
        <v>153</v>
      </c>
      <c r="C88" s="84" t="s">
        <v>154</v>
      </c>
      <c r="D88" s="84" t="s">
        <v>187</v>
      </c>
      <c r="E88" s="84" t="s">
        <v>188</v>
      </c>
      <c r="F88" s="138" t="s">
        <v>19</v>
      </c>
      <c r="G88" s="140"/>
      <c r="H88" s="139"/>
    </row>
    <row r="89" spans="1:8" ht="14.25" customHeight="1" outlineLevel="2">
      <c r="A89" s="84" t="s">
        <v>26</v>
      </c>
      <c r="B89" s="84" t="s">
        <v>153</v>
      </c>
      <c r="C89" s="84" t="s">
        <v>154</v>
      </c>
      <c r="D89" s="84" t="s">
        <v>189</v>
      </c>
      <c r="E89" s="84" t="s">
        <v>190</v>
      </c>
      <c r="F89" s="138" t="s">
        <v>19</v>
      </c>
      <c r="G89" s="140"/>
      <c r="H89" s="139"/>
    </row>
    <row r="90" spans="1:8" ht="14.25" customHeight="1" outlineLevel="2">
      <c r="A90" s="196" t="s">
        <v>26</v>
      </c>
      <c r="B90" s="196" t="s">
        <v>153</v>
      </c>
      <c r="C90" s="196" t="s">
        <v>154</v>
      </c>
      <c r="D90" s="196" t="s">
        <v>326</v>
      </c>
      <c r="E90" s="196" t="s">
        <v>327</v>
      </c>
      <c r="F90" s="197" t="s">
        <v>311</v>
      </c>
      <c r="G90" s="140"/>
      <c r="H90" s="198"/>
    </row>
    <row r="91" spans="1:8" ht="14.25" customHeight="1" outlineLevel="1">
      <c r="A91" s="203"/>
      <c r="B91" s="203"/>
      <c r="C91" s="204" t="s">
        <v>284</v>
      </c>
      <c r="D91" s="203"/>
      <c r="E91" s="203"/>
      <c r="F91" s="203"/>
      <c r="G91" s="206">
        <v>20682521.02</v>
      </c>
      <c r="H91" s="205">
        <f>SUBTOTAL(9,H72:H90)</f>
        <v>0</v>
      </c>
    </row>
    <row r="92" spans="1:8" ht="14.25" customHeight="1" outlineLevel="2">
      <c r="A92" s="199" t="s">
        <v>26</v>
      </c>
      <c r="B92" s="199" t="s">
        <v>191</v>
      </c>
      <c r="C92" s="199" t="s">
        <v>192</v>
      </c>
      <c r="D92" s="199" t="s">
        <v>193</v>
      </c>
      <c r="E92" s="199" t="s">
        <v>194</v>
      </c>
      <c r="F92" s="200" t="s">
        <v>19</v>
      </c>
      <c r="G92" s="140"/>
      <c r="H92" s="201"/>
    </row>
    <row r="93" spans="1:8" ht="14.25" customHeight="1" outlineLevel="2">
      <c r="A93" s="84" t="s">
        <v>26</v>
      </c>
      <c r="B93" s="84" t="s">
        <v>191</v>
      </c>
      <c r="C93" s="84" t="s">
        <v>192</v>
      </c>
      <c r="D93" s="84" t="s">
        <v>195</v>
      </c>
      <c r="E93" s="84" t="s">
        <v>196</v>
      </c>
      <c r="F93" s="138" t="s">
        <v>19</v>
      </c>
      <c r="G93" s="140"/>
      <c r="H93" s="139"/>
    </row>
    <row r="94" spans="1:8" ht="14.25" customHeight="1" outlineLevel="2">
      <c r="A94" s="84" t="s">
        <v>26</v>
      </c>
      <c r="B94" s="84" t="s">
        <v>191</v>
      </c>
      <c r="C94" s="84" t="s">
        <v>192</v>
      </c>
      <c r="D94" s="84" t="s">
        <v>197</v>
      </c>
      <c r="E94" s="84" t="s">
        <v>198</v>
      </c>
      <c r="F94" s="138" t="s">
        <v>19</v>
      </c>
      <c r="G94" s="140"/>
      <c r="H94" s="139"/>
    </row>
    <row r="95" spans="1:8" ht="14.25" customHeight="1" outlineLevel="2">
      <c r="A95" s="84" t="s">
        <v>26</v>
      </c>
      <c r="B95" s="84" t="s">
        <v>191</v>
      </c>
      <c r="C95" s="84" t="s">
        <v>192</v>
      </c>
      <c r="D95" s="84" t="s">
        <v>199</v>
      </c>
      <c r="E95" s="84" t="s">
        <v>200</v>
      </c>
      <c r="F95" s="138" t="s">
        <v>19</v>
      </c>
      <c r="G95" s="140"/>
      <c r="H95" s="139"/>
    </row>
    <row r="96" spans="1:8" ht="14.25" customHeight="1" outlineLevel="2">
      <c r="A96" s="84" t="s">
        <v>26</v>
      </c>
      <c r="B96" s="84" t="s">
        <v>191</v>
      </c>
      <c r="C96" s="84" t="s">
        <v>192</v>
      </c>
      <c r="D96" s="84" t="s">
        <v>201</v>
      </c>
      <c r="E96" s="84" t="s">
        <v>202</v>
      </c>
      <c r="F96" s="138" t="s">
        <v>19</v>
      </c>
      <c r="G96" s="140"/>
      <c r="H96" s="139"/>
    </row>
    <row r="97" spans="1:8" ht="14.25" customHeight="1" outlineLevel="2">
      <c r="A97" s="84" t="s">
        <v>26</v>
      </c>
      <c r="B97" s="84" t="s">
        <v>191</v>
      </c>
      <c r="C97" s="84" t="s">
        <v>192</v>
      </c>
      <c r="D97" s="84" t="s">
        <v>203</v>
      </c>
      <c r="E97" s="84" t="s">
        <v>204</v>
      </c>
      <c r="F97" s="138" t="s">
        <v>19</v>
      </c>
      <c r="G97" s="140"/>
      <c r="H97" s="139"/>
    </row>
    <row r="98" spans="1:8" ht="14.25" customHeight="1" outlineLevel="2">
      <c r="A98" s="84" t="s">
        <v>26</v>
      </c>
      <c r="B98" s="84" t="s">
        <v>191</v>
      </c>
      <c r="C98" s="84" t="s">
        <v>192</v>
      </c>
      <c r="D98" s="84" t="s">
        <v>205</v>
      </c>
      <c r="E98" s="84" t="s">
        <v>206</v>
      </c>
      <c r="F98" s="138" t="s">
        <v>19</v>
      </c>
      <c r="G98" s="140"/>
      <c r="H98" s="139"/>
    </row>
    <row r="99" spans="1:8" ht="14.25" customHeight="1" outlineLevel="2">
      <c r="A99" s="84" t="s">
        <v>26</v>
      </c>
      <c r="B99" s="84" t="s">
        <v>191</v>
      </c>
      <c r="C99" s="84" t="s">
        <v>192</v>
      </c>
      <c r="D99" s="84" t="s">
        <v>207</v>
      </c>
      <c r="E99" s="84" t="s">
        <v>208</v>
      </c>
      <c r="F99" s="138" t="s">
        <v>19</v>
      </c>
      <c r="G99" s="140"/>
      <c r="H99" s="139"/>
    </row>
    <row r="100" spans="1:8" ht="14.25" customHeight="1" outlineLevel="2">
      <c r="A100" s="84" t="s">
        <v>26</v>
      </c>
      <c r="B100" s="84" t="s">
        <v>191</v>
      </c>
      <c r="C100" s="84" t="s">
        <v>192</v>
      </c>
      <c r="D100" s="84" t="s">
        <v>209</v>
      </c>
      <c r="E100" s="84" t="s">
        <v>210</v>
      </c>
      <c r="F100" s="138" t="s">
        <v>19</v>
      </c>
      <c r="G100" s="140"/>
      <c r="H100" s="139"/>
    </row>
    <row r="101" spans="1:8" ht="14.25" customHeight="1" outlineLevel="2">
      <c r="A101" s="84" t="s">
        <v>26</v>
      </c>
      <c r="B101" s="84" t="s">
        <v>191</v>
      </c>
      <c r="C101" s="84" t="s">
        <v>192</v>
      </c>
      <c r="D101" s="84" t="s">
        <v>211</v>
      </c>
      <c r="E101" s="84" t="s">
        <v>212</v>
      </c>
      <c r="F101" s="138" t="s">
        <v>19</v>
      </c>
      <c r="G101" s="140"/>
      <c r="H101" s="139"/>
    </row>
    <row r="102" spans="1:8" ht="14.25" customHeight="1" outlineLevel="2">
      <c r="A102" s="84" t="s">
        <v>26</v>
      </c>
      <c r="B102" s="84" t="s">
        <v>191</v>
      </c>
      <c r="C102" s="84" t="s">
        <v>192</v>
      </c>
      <c r="D102" s="84" t="s">
        <v>213</v>
      </c>
      <c r="E102" s="84" t="s">
        <v>214</v>
      </c>
      <c r="F102" s="138" t="s">
        <v>19</v>
      </c>
      <c r="G102" s="140"/>
      <c r="H102" s="139"/>
    </row>
    <row r="103" spans="1:8" ht="14.25" customHeight="1" outlineLevel="2">
      <c r="A103" s="84" t="s">
        <v>26</v>
      </c>
      <c r="B103" s="84" t="s">
        <v>191</v>
      </c>
      <c r="C103" s="84" t="s">
        <v>192</v>
      </c>
      <c r="D103" s="84" t="s">
        <v>215</v>
      </c>
      <c r="E103" s="84" t="s">
        <v>216</v>
      </c>
      <c r="F103" s="138" t="s">
        <v>19</v>
      </c>
      <c r="G103" s="140"/>
      <c r="H103" s="139"/>
    </row>
    <row r="104" spans="1:8" ht="14.25" customHeight="1" outlineLevel="2">
      <c r="A104" s="196" t="s">
        <v>26</v>
      </c>
      <c r="B104" s="196" t="s">
        <v>191</v>
      </c>
      <c r="C104" s="196" t="s">
        <v>192</v>
      </c>
      <c r="D104" s="196" t="s">
        <v>328</v>
      </c>
      <c r="E104" s="196" t="s">
        <v>329</v>
      </c>
      <c r="F104" s="197" t="s">
        <v>311</v>
      </c>
      <c r="G104" s="140"/>
      <c r="H104" s="198"/>
    </row>
    <row r="105" spans="1:8" ht="14.25" customHeight="1" outlineLevel="1">
      <c r="A105" s="203"/>
      <c r="B105" s="203"/>
      <c r="C105" s="204" t="s">
        <v>285</v>
      </c>
      <c r="D105" s="203"/>
      <c r="E105" s="203"/>
      <c r="F105" s="203"/>
      <c r="G105" s="206">
        <v>11216495.5</v>
      </c>
      <c r="H105" s="205">
        <f>SUBTOTAL(9,H92:H104)</f>
        <v>0</v>
      </c>
    </row>
    <row r="106" spans="1:8" ht="14.25" customHeight="1">
      <c r="A106" s="133"/>
      <c r="B106" s="133"/>
      <c r="C106" s="134" t="s">
        <v>286</v>
      </c>
      <c r="D106" s="133"/>
      <c r="E106" s="133"/>
      <c r="F106" s="133"/>
      <c r="G106" s="202">
        <f>SUBTOTAL(9,G3:G105)</f>
        <v>100427778.33999999</v>
      </c>
      <c r="H106" s="202">
        <f>SUBTOTAL(9,H3:H105)</f>
        <v>0</v>
      </c>
    </row>
  </sheetData>
  <sheetProtection algorithmName="SHA-512" hashValue="8TBDHJ9vXvne/mcUvAGgtTfou7ZY8bP0S2gnG244Kq5vhA1EcsOotkSIYP55fjqlSqTqxYU1AzWAWnnGJBHKJg==" saltValue="UkKMtb1yGX10I51nZHTAlg==" spinCount="100000" sheet="1" objects="1" scenarios="1" autoFilter="0"/>
  <autoFilter ref="A2:H105" xr:uid="{8306E8D5-4761-47F2-B534-1563D021BE8E}"/>
  <mergeCells count="1">
    <mergeCell ref="A1:H1"/>
  </mergeCells>
  <printOptions horizontalCentered="1"/>
  <pageMargins left="0.39370078740157483" right="0.19685039370078741" top="0.74803149606299213" bottom="0.94488188976377963" header="0.31496062992125984" footer="0.31496062992125984"/>
  <pageSetup paperSize="9" orientation="portrait" r:id="rId1"/>
  <headerFooter>
    <oddFooter>&amp;Cหน้า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5451-99B1-42FE-A414-D44031D9022B}">
  <sheetPr codeName="Sheet8"/>
  <dimension ref="A1:R100"/>
  <sheetViews>
    <sheetView zoomScaleNormal="100" workbookViewId="0">
      <pane xSplit="5" ySplit="4" topLeftCell="F32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F46" sqref="F46"/>
    </sheetView>
  </sheetViews>
  <sheetFormatPr defaultColWidth="9" defaultRowHeight="13" outlineLevelRow="2"/>
  <cols>
    <col min="1" max="1" width="5" style="4" customWidth="1"/>
    <col min="2" max="2" width="4.36328125" style="4" customWidth="1"/>
    <col min="3" max="3" width="9" style="4"/>
    <col min="4" max="4" width="7" style="4" customWidth="1"/>
    <col min="5" max="5" width="13.26953125" style="4" customWidth="1"/>
    <col min="6" max="6" width="8.26953125" style="4" customWidth="1"/>
    <col min="7" max="7" width="15.453125" style="4" customWidth="1"/>
    <col min="8" max="8" width="14.7265625" style="4" customWidth="1"/>
    <col min="9" max="9" width="15.6328125" style="4" customWidth="1"/>
    <col min="10" max="10" width="16.08984375" style="4" customWidth="1"/>
    <col min="11" max="11" width="15.453125" style="4" customWidth="1"/>
    <col min="12" max="12" width="15" style="4" customWidth="1"/>
    <col min="13" max="13" width="14.453125" style="4" customWidth="1"/>
    <col min="14" max="14" width="15.36328125" style="4" customWidth="1"/>
    <col min="15" max="15" width="12.453125" style="4" customWidth="1"/>
    <col min="16" max="16" width="15.6328125" style="4" customWidth="1"/>
    <col min="17" max="17" width="11.7265625" style="4" customWidth="1"/>
    <col min="18" max="18" width="15.90625" style="4" customWidth="1"/>
    <col min="19" max="16384" width="9" style="4"/>
  </cols>
  <sheetData>
    <row r="1" spans="1:18" ht="21">
      <c r="A1" s="236" t="s">
        <v>356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</row>
    <row r="3" spans="1:18" s="82" customFormat="1" ht="21" customHeight="1">
      <c r="A3" s="11"/>
      <c r="B3" s="11"/>
      <c r="C3" s="11"/>
      <c r="D3" s="11"/>
      <c r="E3" s="11"/>
      <c r="F3" s="12"/>
      <c r="G3" s="75" t="s">
        <v>222</v>
      </c>
      <c r="H3" s="15" t="s">
        <v>223</v>
      </c>
      <c r="I3" s="15" t="s">
        <v>224</v>
      </c>
      <c r="J3" s="15" t="s">
        <v>332</v>
      </c>
      <c r="K3" s="15" t="s">
        <v>226</v>
      </c>
      <c r="L3" s="15" t="s">
        <v>333</v>
      </c>
      <c r="M3" s="15" t="s">
        <v>246</v>
      </c>
      <c r="N3" s="12" t="s">
        <v>334</v>
      </c>
      <c r="O3" s="207" t="s">
        <v>230</v>
      </c>
      <c r="P3" s="11" t="s">
        <v>335</v>
      </c>
      <c r="Q3" s="12" t="s">
        <v>336</v>
      </c>
      <c r="R3" s="208" t="s">
        <v>337</v>
      </c>
    </row>
    <row r="4" spans="1:18" s="5" customFormat="1" ht="59.25" customHeight="1">
      <c r="A4" s="7" t="s">
        <v>277</v>
      </c>
      <c r="B4" s="7" t="s">
        <v>221</v>
      </c>
      <c r="C4" s="7" t="s">
        <v>278</v>
      </c>
      <c r="D4" s="7" t="s">
        <v>343</v>
      </c>
      <c r="E4" s="7" t="s">
        <v>344</v>
      </c>
      <c r="F4" s="209" t="s">
        <v>357</v>
      </c>
      <c r="G4" s="7" t="s">
        <v>259</v>
      </c>
      <c r="H4" s="7" t="s">
        <v>260</v>
      </c>
      <c r="I4" s="7" t="s">
        <v>338</v>
      </c>
      <c r="J4" s="7" t="s">
        <v>262</v>
      </c>
      <c r="K4" s="7" t="s">
        <v>14</v>
      </c>
      <c r="L4" s="7" t="s">
        <v>263</v>
      </c>
      <c r="M4" s="14" t="s">
        <v>309</v>
      </c>
      <c r="N4" s="14" t="s">
        <v>339</v>
      </c>
      <c r="O4" s="7" t="s">
        <v>340</v>
      </c>
      <c r="P4" s="7" t="s">
        <v>341</v>
      </c>
      <c r="Q4" s="14" t="s">
        <v>305</v>
      </c>
      <c r="R4" s="87" t="s">
        <v>348</v>
      </c>
    </row>
    <row r="5" spans="1:18" s="64" customFormat="1" ht="15" customHeight="1" outlineLevel="2">
      <c r="A5" s="67">
        <v>498</v>
      </c>
      <c r="B5" s="68" t="s">
        <v>26</v>
      </c>
      <c r="C5" s="68" t="s">
        <v>28</v>
      </c>
      <c r="D5" s="68" t="s">
        <v>29</v>
      </c>
      <c r="E5" s="68" t="s">
        <v>30</v>
      </c>
      <c r="F5" s="9">
        <f>VLOOKUP($D5,'4.เขตปรับKและเกลี่ยเงินเพิ่มฯ'!$E$10:$AJ$104,5,FALSE)</f>
        <v>1.1000000000000001</v>
      </c>
      <c r="G5" s="9">
        <f>VLOOKUP($D5,'4.เขตปรับKและเกลี่ยเงินเพิ่มฯ'!$E$10:$AJ$104,13,FALSE)</f>
        <v>82429099.269999996</v>
      </c>
      <c r="H5" s="9">
        <f>VLOOKUP($D5,'4.เขตปรับKและเกลี่ยเงินเพิ่มฯ'!$E$10:$AJ$104,14,FALSE)</f>
        <v>16633610.82</v>
      </c>
      <c r="I5" s="9">
        <f>VLOOKUP($D5,'4.เขตปรับKและเกลี่ยเงินเพิ่มฯ'!$E$10:$AJ$104,15,FALSE)+VLOOKUP($D5,'4.เขตปรับKและเกลี่ยเงินเพิ่มฯ'!$E$10:$AJ$104,16,FALSE)+VLOOKUP($D5,'4.เขตปรับKและเกลี่ยเงินเพิ่มฯ'!$E$10:$AJ$104,17,FALSE)</f>
        <v>139306129.28</v>
      </c>
      <c r="J5" s="9">
        <f>VLOOKUP($D5,'4.เขตปรับKและเกลี่ยเงินเพิ่มฯ'!$E$10:$AJ$104,18,FALSE)</f>
        <v>238368839.37</v>
      </c>
      <c r="K5" s="9">
        <f>VLOOKUP($D5,'4.เขตปรับKและเกลี่ยเงินเพิ่มฯ'!$E$10:$AJ$104,19,FALSE)</f>
        <v>93112397</v>
      </c>
      <c r="L5" s="9">
        <f>VLOOKUP($D5,'4.เขตปรับKและเกลี่ยเงินเพิ่มฯ'!$E$10:$AJ$104,20,FALSE)</f>
        <v>145256442.37</v>
      </c>
      <c r="M5" s="9">
        <f>VLOOKUP($D5,'4.เขตปรับKและเกลี่ยเงินเพิ่มฯ'!$E$10:$AJ$104,21,FALSE)</f>
        <v>0</v>
      </c>
      <c r="N5" s="9">
        <f>VLOOKUP($D5,'4.เขตปรับKและเกลี่ยเงินเพิ่มฯ'!$E$10:$AJ$104,22,FALSE)</f>
        <v>145256442.37</v>
      </c>
      <c r="O5" s="9">
        <f>VLOOKUP($D5,'4.เขตปรับKและเกลี่ยเงินเพิ่มฯ'!$E$10:$AJ$104,30,FALSE)</f>
        <v>0</v>
      </c>
      <c r="P5" s="9">
        <f>VLOOKUP($D5,'4.เขตปรับKและเกลี่ยเงินเพิ่มฯ'!$E$10:$AJ$104,32,FALSE)</f>
        <v>145256442.37</v>
      </c>
      <c r="Q5" s="9">
        <f>VLOOKUP($D5,'4.เขตปรับKและเกลี่ยเงินเพิ่มฯ'!$E$10:$AJ$104,26,FALSE)</f>
        <v>0</v>
      </c>
      <c r="R5" s="9">
        <f>VLOOKUP($D5,'4.เขตปรับKและเกลี่ยเงินเพิ่มฯ'!$E$10:$AJ$104,23,FALSE)</f>
        <v>130461290.43000001</v>
      </c>
    </row>
    <row r="6" spans="1:18" s="64" customFormat="1" ht="15" customHeight="1" outlineLevel="2">
      <c r="A6" s="67">
        <v>499</v>
      </c>
      <c r="B6" s="68" t="s">
        <v>26</v>
      </c>
      <c r="C6" s="68" t="s">
        <v>28</v>
      </c>
      <c r="D6" s="68" t="s">
        <v>31</v>
      </c>
      <c r="E6" s="68" t="s">
        <v>32</v>
      </c>
      <c r="F6" s="9">
        <f>VLOOKUP($D6,'4.เขตปรับKและเกลี่ยเงินเพิ่มฯ'!$E$10:$AJ$104,5,FALSE)</f>
        <v>1.2</v>
      </c>
      <c r="G6" s="9">
        <f>VLOOKUP($D6,'4.เขตปรับKและเกลี่ยเงินเพิ่มฯ'!$E$10:$AJ$104,13,FALSE)</f>
        <v>53029912.43</v>
      </c>
      <c r="H6" s="9">
        <f>VLOOKUP($D6,'4.เขตปรับKและเกลี่ยเงินเพิ่มฯ'!$E$10:$AJ$104,14,FALSE)</f>
        <v>10701062.279999999</v>
      </c>
      <c r="I6" s="9">
        <f>VLOOKUP($D6,'4.เขตปรับKและเกลี่ยเงินเพิ่มฯ'!$E$10:$AJ$104,15,FALSE)+VLOOKUP($D6,'4.เขตปรับKและเกลี่ยเงินเพิ่มฯ'!$E$10:$AJ$104,16,FALSE)+VLOOKUP($D6,'4.เขตปรับKและเกลี่ยเงินเพิ่มฯ'!$E$10:$AJ$104,17,FALSE)</f>
        <v>16567761.74</v>
      </c>
      <c r="J6" s="9">
        <f>VLOOKUP($D6,'4.เขตปรับKและเกลี่ยเงินเพิ่มฯ'!$E$10:$AJ$104,18,FALSE)</f>
        <v>80298736.449999988</v>
      </c>
      <c r="K6" s="9">
        <f>VLOOKUP($D6,'4.เขตปรับKและเกลี่ยเงินเพิ่มฯ'!$E$10:$AJ$104,19,FALSE)</f>
        <v>26804885</v>
      </c>
      <c r="L6" s="9">
        <f>VLOOKUP($D6,'4.เขตปรับKและเกลี่ยเงินเพิ่มฯ'!$E$10:$AJ$104,20,FALSE)</f>
        <v>53493851.450000003</v>
      </c>
      <c r="M6" s="9">
        <f>VLOOKUP($D6,'4.เขตปรับKและเกลี่ยเงินเพิ่มฯ'!$E$10:$AJ$104,21,FALSE)</f>
        <v>0</v>
      </c>
      <c r="N6" s="9">
        <f>VLOOKUP($D6,'4.เขตปรับKและเกลี่ยเงินเพิ่มฯ'!$E$10:$AJ$104,22,FALSE)</f>
        <v>53493851.450000003</v>
      </c>
      <c r="O6" s="9">
        <f>VLOOKUP($D6,'4.เขตปรับKและเกลี่ยเงินเพิ่มฯ'!$E$10:$AJ$104,30,FALSE)</f>
        <v>0</v>
      </c>
      <c r="P6" s="9">
        <f>VLOOKUP($D6,'4.เขตปรับKและเกลี่ยเงินเพิ่มฯ'!$E$10:$AJ$104,32,FALSE)</f>
        <v>53493851.450000003</v>
      </c>
      <c r="Q6" s="9">
        <f>VLOOKUP($D6,'4.เขตปรับKและเกลี่ยเงินเพิ่มฯ'!$E$10:$AJ$104,26,FALSE)</f>
        <v>0</v>
      </c>
      <c r="R6" s="9">
        <f>VLOOKUP($D6,'4.เขตปรับKและเกลี่ยเงินเพิ่มฯ'!$E$10:$AJ$104,23,FALSE)</f>
        <v>46343219.890000001</v>
      </c>
    </row>
    <row r="7" spans="1:18" s="64" customFormat="1" ht="15" customHeight="1" outlineLevel="2">
      <c r="A7" s="67">
        <v>500</v>
      </c>
      <c r="B7" s="68" t="s">
        <v>26</v>
      </c>
      <c r="C7" s="68" t="s">
        <v>28</v>
      </c>
      <c r="D7" s="68" t="s">
        <v>33</v>
      </c>
      <c r="E7" s="68" t="s">
        <v>34</v>
      </c>
      <c r="F7" s="9">
        <f>VLOOKUP($D7,'4.เขตปรับKและเกลี่ยเงินเพิ่มฯ'!$E$10:$AJ$104,5,FALSE)</f>
        <v>1.1499999999999999</v>
      </c>
      <c r="G7" s="9">
        <f>VLOOKUP($D7,'4.เขตปรับKและเกลี่ยเงินเพิ่มฯ'!$E$10:$AJ$104,13,FALSE)</f>
        <v>59270409.090000004</v>
      </c>
      <c r="H7" s="9">
        <f>VLOOKUP($D7,'4.เขตปรับKและเกลี่ยเงินเพิ่มฯ'!$E$10:$AJ$104,14,FALSE)</f>
        <v>11960350.49</v>
      </c>
      <c r="I7" s="9">
        <f>VLOOKUP($D7,'4.เขตปรับKและเกลี่ยเงินเพิ่มฯ'!$E$10:$AJ$104,15,FALSE)+VLOOKUP($D7,'4.เขตปรับKและเกลี่ยเงินเพิ่มฯ'!$E$10:$AJ$104,16,FALSE)+VLOOKUP($D7,'4.เขตปรับKและเกลี่ยเงินเพิ่มฯ'!$E$10:$AJ$104,17,FALSE)</f>
        <v>19658593.399999999</v>
      </c>
      <c r="J7" s="9">
        <f>VLOOKUP($D7,'4.เขตปรับKและเกลี่ยเงินเพิ่มฯ'!$E$10:$AJ$104,18,FALSE)</f>
        <v>90889352.980000004</v>
      </c>
      <c r="K7" s="9">
        <f>VLOOKUP($D7,'4.เขตปรับKและเกลี่ยเงินเพิ่มฯ'!$E$10:$AJ$104,19,FALSE)</f>
        <v>30342831</v>
      </c>
      <c r="L7" s="9">
        <f>VLOOKUP($D7,'4.เขตปรับKและเกลี่ยเงินเพิ่มฯ'!$E$10:$AJ$104,20,FALSE)</f>
        <v>60546521.979999997</v>
      </c>
      <c r="M7" s="9">
        <f>VLOOKUP($D7,'4.เขตปรับKและเกลี่ยเงินเพิ่มฯ'!$E$10:$AJ$104,21,FALSE)</f>
        <v>0</v>
      </c>
      <c r="N7" s="9">
        <f>VLOOKUP($D7,'4.เขตปรับKและเกลี่ยเงินเพิ่มฯ'!$E$10:$AJ$104,22,FALSE)</f>
        <v>60546521.979999997</v>
      </c>
      <c r="O7" s="9">
        <f>VLOOKUP($D7,'4.เขตปรับKและเกลี่ยเงินเพิ่มฯ'!$E$10:$AJ$104,30,FALSE)</f>
        <v>0</v>
      </c>
      <c r="P7" s="9">
        <f>VLOOKUP($D7,'4.เขตปรับKและเกลี่ยเงินเพิ่มฯ'!$E$10:$AJ$104,32,FALSE)</f>
        <v>60546521.979999997</v>
      </c>
      <c r="Q7" s="9">
        <f>VLOOKUP($D7,'4.เขตปรับKและเกลี่ยเงินเพิ่มฯ'!$E$10:$AJ$104,26,FALSE)</f>
        <v>0</v>
      </c>
      <c r="R7" s="9">
        <f>VLOOKUP($D7,'4.เขตปรับKและเกลี่ยเงินเพิ่มฯ'!$E$10:$AJ$104,23,FALSE)</f>
        <v>54073321.310000002</v>
      </c>
    </row>
    <row r="8" spans="1:18" s="64" customFormat="1" ht="15" customHeight="1" outlineLevel="2">
      <c r="A8" s="67">
        <v>501</v>
      </c>
      <c r="B8" s="68" t="s">
        <v>26</v>
      </c>
      <c r="C8" s="68" t="s">
        <v>28</v>
      </c>
      <c r="D8" s="68" t="s">
        <v>35</v>
      </c>
      <c r="E8" s="68" t="s">
        <v>36</v>
      </c>
      <c r="F8" s="9">
        <f>VLOOKUP($D8,'4.เขตปรับKและเกลี่ยเงินเพิ่มฯ'!$E$10:$AJ$104,5,FALSE)</f>
        <v>1.1499999999999999</v>
      </c>
      <c r="G8" s="9">
        <f>VLOOKUP($D8,'4.เขตปรับKและเกลี่ยเงินเพิ่มฯ'!$E$10:$AJ$104,13,FALSE)</f>
        <v>63832520.219999999</v>
      </c>
      <c r="H8" s="9">
        <f>VLOOKUP($D8,'4.เขตปรับKและเกลี่ยเงินเพิ่มฯ'!$E$10:$AJ$104,14,FALSE)</f>
        <v>12880952.34</v>
      </c>
      <c r="I8" s="9">
        <f>VLOOKUP($D8,'4.เขตปรับKและเกลี่ยเงินเพิ่มฯ'!$E$10:$AJ$104,15,FALSE)+VLOOKUP($D8,'4.เขตปรับKและเกลี่ยเงินเพิ่มฯ'!$E$10:$AJ$104,16,FALSE)+VLOOKUP($D8,'4.เขตปรับKและเกลี่ยเงินเพิ่มฯ'!$E$10:$AJ$104,17,FALSE)</f>
        <v>42792573.25</v>
      </c>
      <c r="J8" s="9">
        <f>VLOOKUP($D8,'4.เขตปรับKและเกลี่ยเงินเพิ่มฯ'!$E$10:$AJ$104,18,FALSE)</f>
        <v>119506045.81000002</v>
      </c>
      <c r="K8" s="9">
        <f>VLOOKUP($D8,'4.เขตปรับKและเกลี่ยเงินเพิ่มฯ'!$E$10:$AJ$104,19,FALSE)</f>
        <v>43299082</v>
      </c>
      <c r="L8" s="9">
        <f>VLOOKUP($D8,'4.เขตปรับKและเกลี่ยเงินเพิ่มฯ'!$E$10:$AJ$104,20,FALSE)</f>
        <v>76206963.810000002</v>
      </c>
      <c r="M8" s="9">
        <f>VLOOKUP($D8,'4.เขตปรับKและเกลี่ยเงินเพิ่มฯ'!$E$10:$AJ$104,21,FALSE)</f>
        <v>0</v>
      </c>
      <c r="N8" s="9">
        <f>VLOOKUP($D8,'4.เขตปรับKและเกลี่ยเงินเพิ่มฯ'!$E$10:$AJ$104,22,FALSE)</f>
        <v>76206963.810000002</v>
      </c>
      <c r="O8" s="9">
        <f>VLOOKUP($D8,'4.เขตปรับKและเกลี่ยเงินเพิ่มฯ'!$E$10:$AJ$104,30,FALSE)</f>
        <v>0</v>
      </c>
      <c r="P8" s="9">
        <f>VLOOKUP($D8,'4.เขตปรับKและเกลี่ยเงินเพิ่มฯ'!$E$10:$AJ$104,32,FALSE)</f>
        <v>76206963.810000002</v>
      </c>
      <c r="Q8" s="9">
        <f>VLOOKUP($D8,'4.เขตปรับKและเกลี่ยเงินเพิ่มฯ'!$E$10:$AJ$104,26,FALSE)</f>
        <v>0</v>
      </c>
      <c r="R8" s="9">
        <f>VLOOKUP($D8,'4.เขตปรับKและเกลี่ยเงินเพิ่มฯ'!$E$10:$AJ$104,23,FALSE)</f>
        <v>69913498.079999998</v>
      </c>
    </row>
    <row r="9" spans="1:18" s="64" customFormat="1" ht="15" customHeight="1" outlineLevel="2">
      <c r="A9" s="67">
        <v>502</v>
      </c>
      <c r="B9" s="68" t="s">
        <v>26</v>
      </c>
      <c r="C9" s="68" t="s">
        <v>28</v>
      </c>
      <c r="D9" s="68" t="s">
        <v>37</v>
      </c>
      <c r="E9" s="68" t="s">
        <v>38</v>
      </c>
      <c r="F9" s="9">
        <f>VLOOKUP($D9,'4.เขตปรับKและเกลี่ยเงินเพิ่มฯ'!$E$10:$AJ$104,5,FALSE)</f>
        <v>1.25</v>
      </c>
      <c r="G9" s="9">
        <f>VLOOKUP($D9,'4.เขตปรับKและเกลี่ยเงินเพิ่มฯ'!$E$10:$AJ$104,13,FALSE)</f>
        <v>42569378.799999997</v>
      </c>
      <c r="H9" s="9">
        <f>VLOOKUP($D9,'4.เขตปรับKและเกลี่ยเงินเพิ่มฯ'!$E$10:$AJ$104,14,FALSE)</f>
        <v>8590200.3800000008</v>
      </c>
      <c r="I9" s="9">
        <f>VLOOKUP($D9,'4.เขตปรับKและเกลี่ยเงินเพิ่มฯ'!$E$10:$AJ$104,15,FALSE)+VLOOKUP($D9,'4.เขตปรับKและเกลี่ยเงินเพิ่มฯ'!$E$10:$AJ$104,16,FALSE)+VLOOKUP($D9,'4.เขตปรับKและเกลี่ยเงินเพิ่มฯ'!$E$10:$AJ$104,17,FALSE)</f>
        <v>17731182.950000003</v>
      </c>
      <c r="J9" s="9">
        <f>VLOOKUP($D9,'4.เขตปรับKและเกลี่ยเงินเพิ่มฯ'!$E$10:$AJ$104,18,FALSE)</f>
        <v>68890762.129999995</v>
      </c>
      <c r="K9" s="9">
        <f>VLOOKUP($D9,'4.เขตปรับKและเกลี่ยเงินเพิ่มฯ'!$E$10:$AJ$104,19,FALSE)</f>
        <v>26215797</v>
      </c>
      <c r="L9" s="9">
        <f>VLOOKUP($D9,'4.เขตปรับKและเกลี่ยเงินเพิ่มฯ'!$E$10:$AJ$104,20,FALSE)</f>
        <v>42674965.130000003</v>
      </c>
      <c r="M9" s="9">
        <f>VLOOKUP($D9,'4.เขตปรับKและเกลี่ยเงินเพิ่มฯ'!$E$10:$AJ$104,21,FALSE)</f>
        <v>0</v>
      </c>
      <c r="N9" s="9">
        <f>VLOOKUP($D9,'4.เขตปรับKและเกลี่ยเงินเพิ่มฯ'!$E$10:$AJ$104,22,FALSE)</f>
        <v>42674965.130000003</v>
      </c>
      <c r="O9" s="9">
        <f>VLOOKUP($D9,'4.เขตปรับKและเกลี่ยเงินเพิ่มฯ'!$E$10:$AJ$104,30,FALSE)</f>
        <v>0</v>
      </c>
      <c r="P9" s="9">
        <f>VLOOKUP($D9,'4.เขตปรับKและเกลี่ยเงินเพิ่มฯ'!$E$10:$AJ$104,32,FALSE)</f>
        <v>42674965.130000003</v>
      </c>
      <c r="Q9" s="9">
        <f>VLOOKUP($D9,'4.เขตปรับKและเกลี่ยเงินเพิ่มฯ'!$E$10:$AJ$104,26,FALSE)</f>
        <v>0</v>
      </c>
      <c r="R9" s="9">
        <f>VLOOKUP($D9,'4.เขตปรับKและเกลี่ยเงินเพิ่มฯ'!$E$10:$AJ$104,23,FALSE)</f>
        <v>35546380.18</v>
      </c>
    </row>
    <row r="10" spans="1:18" s="64" customFormat="1" ht="15" customHeight="1" outlineLevel="2">
      <c r="A10" s="67">
        <v>503</v>
      </c>
      <c r="B10" s="68" t="s">
        <v>26</v>
      </c>
      <c r="C10" s="68" t="s">
        <v>28</v>
      </c>
      <c r="D10" s="68" t="s">
        <v>39</v>
      </c>
      <c r="E10" s="68" t="s">
        <v>40</v>
      </c>
      <c r="F10" s="9">
        <f>VLOOKUP($D10,'4.เขตปรับKและเกลี่ยเงินเพิ่มฯ'!$E$10:$AJ$104,5,FALSE)</f>
        <v>1.25</v>
      </c>
      <c r="G10" s="9">
        <f>VLOOKUP($D10,'4.เขตปรับKและเกลี่ยเงินเพิ่มฯ'!$E$10:$AJ$104,13,FALSE)</f>
        <v>42094649.890000001</v>
      </c>
      <c r="H10" s="9">
        <f>VLOOKUP($D10,'4.เขตปรับKและเกลี่ยเงินเพิ่มฯ'!$E$10:$AJ$104,14,FALSE)</f>
        <v>8494403.4299999997</v>
      </c>
      <c r="I10" s="9">
        <f>VLOOKUP($D10,'4.เขตปรับKและเกลี่ยเงินเพิ่มฯ'!$E$10:$AJ$104,15,FALSE)+VLOOKUP($D10,'4.เขตปรับKและเกลี่ยเงินเพิ่มฯ'!$E$10:$AJ$104,16,FALSE)+VLOOKUP($D10,'4.เขตปรับKและเกลี่ยเงินเพิ่มฯ'!$E$10:$AJ$104,17,FALSE)</f>
        <v>20497618.579999998</v>
      </c>
      <c r="J10" s="9">
        <f>VLOOKUP($D10,'4.เขตปรับKและเกลี่ยเงินเพิ่มฯ'!$E$10:$AJ$104,18,FALSE)</f>
        <v>71086671.900000006</v>
      </c>
      <c r="K10" s="9">
        <f>VLOOKUP($D10,'4.เขตปรับKและเกลี่ยเงินเพิ่มฯ'!$E$10:$AJ$104,19,FALSE)</f>
        <v>23569384</v>
      </c>
      <c r="L10" s="9">
        <f>VLOOKUP($D10,'4.เขตปรับKและเกลี่ยเงินเพิ่มฯ'!$E$10:$AJ$104,20,FALSE)</f>
        <v>47517287.899999999</v>
      </c>
      <c r="M10" s="9">
        <f>VLOOKUP($D10,'4.เขตปรับKและเกลี่ยเงินเพิ่มฯ'!$E$10:$AJ$104,21,FALSE)</f>
        <v>0</v>
      </c>
      <c r="N10" s="9">
        <f>VLOOKUP($D10,'4.เขตปรับKและเกลี่ยเงินเพิ่มฯ'!$E$10:$AJ$104,22,FALSE)</f>
        <v>47517287.899999999</v>
      </c>
      <c r="O10" s="9">
        <f>VLOOKUP($D10,'4.เขตปรับKและเกลี่ยเงินเพิ่มฯ'!$E$10:$AJ$104,30,FALSE)</f>
        <v>0</v>
      </c>
      <c r="P10" s="9">
        <f>VLOOKUP($D10,'4.เขตปรับKและเกลี่ยเงินเพิ่มฯ'!$E$10:$AJ$104,32,FALSE)</f>
        <v>47517287.899999999</v>
      </c>
      <c r="Q10" s="9">
        <f>VLOOKUP($D10,'4.เขตปรับKและเกลี่ยเงินเพิ่มฯ'!$E$10:$AJ$104,26,FALSE)</f>
        <v>0</v>
      </c>
      <c r="R10" s="9">
        <f>VLOOKUP($D10,'4.เขตปรับKและเกลี่ยเงินเพิ่มฯ'!$E$10:$AJ$104,23,FALSE)</f>
        <v>44025221.969999999</v>
      </c>
    </row>
    <row r="11" spans="1:18" s="64" customFormat="1" ht="15" customHeight="1" outlineLevel="2">
      <c r="A11" s="67">
        <v>504</v>
      </c>
      <c r="B11" s="68" t="s">
        <v>26</v>
      </c>
      <c r="C11" s="68" t="s">
        <v>28</v>
      </c>
      <c r="D11" s="68" t="s">
        <v>41</v>
      </c>
      <c r="E11" s="68" t="s">
        <v>42</v>
      </c>
      <c r="F11" s="9">
        <f>VLOOKUP($D11,'4.เขตปรับKและเกลี่ยเงินเพิ่มฯ'!$E$10:$AJ$104,5,FALSE)</f>
        <v>1.25</v>
      </c>
      <c r="G11" s="9">
        <f>VLOOKUP($D11,'4.เขตปรับKและเกลี่ยเงินเพิ่มฯ'!$E$10:$AJ$104,13,FALSE)</f>
        <v>43139053.490000002</v>
      </c>
      <c r="H11" s="9">
        <f>VLOOKUP($D11,'4.เขตปรับKและเกลี่ยเงินเพิ่มฯ'!$E$10:$AJ$104,14,FALSE)</f>
        <v>8705156.7200000007</v>
      </c>
      <c r="I11" s="9">
        <f>VLOOKUP($D11,'4.เขตปรับKและเกลี่ยเงินเพิ่มฯ'!$E$10:$AJ$104,15,FALSE)+VLOOKUP($D11,'4.เขตปรับKและเกลี่ยเงินเพิ่มฯ'!$E$10:$AJ$104,16,FALSE)+VLOOKUP($D11,'4.เขตปรับKและเกลี่ยเงินเพิ่มฯ'!$E$10:$AJ$104,17,FALSE)</f>
        <v>13475387.370000001</v>
      </c>
      <c r="J11" s="9">
        <f>VLOOKUP($D11,'4.เขตปรับKและเกลี่ยเงินเพิ่มฯ'!$E$10:$AJ$104,18,FALSE)</f>
        <v>65319597.579999998</v>
      </c>
      <c r="K11" s="9">
        <f>VLOOKUP($D11,'4.เขตปรับKและเกลี่ยเงินเพิ่มฯ'!$E$10:$AJ$104,19,FALSE)</f>
        <v>23063288</v>
      </c>
      <c r="L11" s="9">
        <f>VLOOKUP($D11,'4.เขตปรับKและเกลี่ยเงินเพิ่มฯ'!$E$10:$AJ$104,20,FALSE)</f>
        <v>42256309.579999998</v>
      </c>
      <c r="M11" s="9">
        <f>VLOOKUP($D11,'4.เขตปรับKและเกลี่ยเงินเพิ่มฯ'!$E$10:$AJ$104,21,FALSE)</f>
        <v>0</v>
      </c>
      <c r="N11" s="9">
        <f>VLOOKUP($D11,'4.เขตปรับKและเกลี่ยเงินเพิ่มฯ'!$E$10:$AJ$104,22,FALSE)</f>
        <v>42256309.579999998</v>
      </c>
      <c r="O11" s="9">
        <f>VLOOKUP($D11,'4.เขตปรับKและเกลี่ยเงินเพิ่มฯ'!$E$10:$AJ$104,30,FALSE)</f>
        <v>0</v>
      </c>
      <c r="P11" s="9">
        <f>VLOOKUP($D11,'4.เขตปรับKและเกลี่ยเงินเพิ่มฯ'!$E$10:$AJ$104,32,FALSE)</f>
        <v>42256309.579999998</v>
      </c>
      <c r="Q11" s="9">
        <f>VLOOKUP($D11,'4.เขตปรับKและเกลี่ยเงินเพิ่มฯ'!$E$10:$AJ$104,26,FALSE)</f>
        <v>0</v>
      </c>
      <c r="R11" s="9">
        <f>VLOOKUP($D11,'4.เขตปรับKและเกลี่ยเงินเพิ่มฯ'!$E$10:$AJ$104,23,FALSE)</f>
        <v>38896746.530000001</v>
      </c>
    </row>
    <row r="12" spans="1:18" s="64" customFormat="1" ht="15" customHeight="1" outlineLevel="2">
      <c r="A12" s="67">
        <v>505</v>
      </c>
      <c r="B12" s="68" t="s">
        <v>26</v>
      </c>
      <c r="C12" s="68" t="s">
        <v>28</v>
      </c>
      <c r="D12" s="68" t="s">
        <v>43</v>
      </c>
      <c r="E12" s="68" t="s">
        <v>44</v>
      </c>
      <c r="F12" s="9">
        <f>VLOOKUP($D12,'4.เขตปรับKและเกลี่ยเงินเพิ่มฯ'!$E$10:$AJ$104,5,FALSE)</f>
        <v>1.35</v>
      </c>
      <c r="G12" s="9">
        <f>VLOOKUP($D12,'4.เขตปรับKและเกลี่ยเงินเพิ่มฯ'!$E$10:$AJ$104,13,FALSE)</f>
        <v>17715132.039999999</v>
      </c>
      <c r="H12" s="9">
        <f>VLOOKUP($D12,'4.เขตปรับKและเกลี่ยเงินเพิ่มฯ'!$E$10:$AJ$104,14,FALSE)</f>
        <v>3574788.69</v>
      </c>
      <c r="I12" s="9">
        <f>VLOOKUP($D12,'4.เขตปรับKและเกลี่ยเงินเพิ่มฯ'!$E$10:$AJ$104,15,FALSE)+VLOOKUP($D12,'4.เขตปรับKและเกลี่ยเงินเพิ่มฯ'!$E$10:$AJ$104,16,FALSE)+VLOOKUP($D12,'4.เขตปรับKและเกลี่ยเงินเพิ่มฯ'!$E$10:$AJ$104,17,FALSE)</f>
        <v>6710721.9900000002</v>
      </c>
      <c r="J12" s="9">
        <f>VLOOKUP($D12,'4.เขตปรับKและเกลี่ยเงินเพิ่มฯ'!$E$10:$AJ$104,18,FALSE)</f>
        <v>28000642.720000003</v>
      </c>
      <c r="K12" s="9">
        <f>VLOOKUP($D12,'4.เขตปรับKและเกลี่ยเงินเพิ่มฯ'!$E$10:$AJ$104,19,FALSE)</f>
        <v>13481298</v>
      </c>
      <c r="L12" s="9">
        <f>VLOOKUP($D12,'4.เขตปรับKและเกลี่ยเงินเพิ่มฯ'!$E$10:$AJ$104,20,FALSE)</f>
        <v>14519344.720000001</v>
      </c>
      <c r="M12" s="9">
        <f>VLOOKUP($D12,'4.เขตปรับKและเกลี่ยเงินเพิ่มฯ'!$E$10:$AJ$104,21,FALSE)</f>
        <v>4130536.64</v>
      </c>
      <c r="N12" s="9">
        <f>VLOOKUP($D12,'4.เขตปรับKและเกลี่ยเงินเพิ่มฯ'!$E$10:$AJ$104,22,FALSE)</f>
        <v>18649881.359999999</v>
      </c>
      <c r="O12" s="9">
        <f>VLOOKUP($D12,'4.เขตปรับKและเกลี่ยเงินเพิ่มฯ'!$E$10:$AJ$104,30,FALSE)</f>
        <v>0</v>
      </c>
      <c r="P12" s="9">
        <f>VLOOKUP($D12,'4.เขตปรับKและเกลี่ยเงินเพิ่มฯ'!$E$10:$AJ$104,32,FALSE)</f>
        <v>18649881.359999999</v>
      </c>
      <c r="Q12" s="9">
        <f>VLOOKUP($D12,'4.เขตปรับKและเกลี่ยเงินเพิ่มฯ'!$E$10:$AJ$104,26,FALSE)</f>
        <v>0</v>
      </c>
      <c r="R12" s="9">
        <f>VLOOKUP($D12,'4.เขตปรับKและเกลี่ยเงินเพิ่มฯ'!$E$10:$AJ$104,23,FALSE)</f>
        <v>18649881.359999999</v>
      </c>
    </row>
    <row r="13" spans="1:18" s="64" customFormat="1" ht="15" customHeight="1" outlineLevel="1">
      <c r="A13" s="143"/>
      <c r="B13" s="144"/>
      <c r="C13" s="145" t="s">
        <v>279</v>
      </c>
      <c r="D13" s="144"/>
      <c r="E13" s="144"/>
      <c r="F13" s="190"/>
      <c r="G13" s="190">
        <f t="shared" ref="G13:R13" si="0">SUBTOTAL(9,G5:G12)</f>
        <v>404080155.23000002</v>
      </c>
      <c r="H13" s="190">
        <f t="shared" si="0"/>
        <v>81540525.150000006</v>
      </c>
      <c r="I13" s="190">
        <f t="shared" si="0"/>
        <v>276739968.56</v>
      </c>
      <c r="J13" s="190">
        <f t="shared" si="0"/>
        <v>762360648.94000006</v>
      </c>
      <c r="K13" s="190">
        <f t="shared" si="0"/>
        <v>279888962</v>
      </c>
      <c r="L13" s="190">
        <f t="shared" si="0"/>
        <v>482471686.94</v>
      </c>
      <c r="M13" s="190">
        <f t="shared" si="0"/>
        <v>4130536.64</v>
      </c>
      <c r="N13" s="190">
        <f t="shared" si="0"/>
        <v>486602223.57999998</v>
      </c>
      <c r="O13" s="190">
        <f t="shared" si="0"/>
        <v>0</v>
      </c>
      <c r="P13" s="190">
        <f t="shared" si="0"/>
        <v>486602223.57999998</v>
      </c>
      <c r="Q13" s="190">
        <f t="shared" si="0"/>
        <v>0</v>
      </c>
      <c r="R13" s="190">
        <f t="shared" si="0"/>
        <v>437909559.75</v>
      </c>
    </row>
    <row r="14" spans="1:18" s="64" customFormat="1" ht="15" customHeight="1" outlineLevel="2">
      <c r="A14" s="67">
        <v>506</v>
      </c>
      <c r="B14" s="68" t="s">
        <v>26</v>
      </c>
      <c r="C14" s="68" t="s">
        <v>46</v>
      </c>
      <c r="D14" s="68" t="s">
        <v>47</v>
      </c>
      <c r="E14" s="68" t="s">
        <v>48</v>
      </c>
      <c r="F14" s="9">
        <f>VLOOKUP($D14,'4.เขตปรับKและเกลี่ยเงินเพิ่มฯ'!$E$10:$AJ$104,5,FALSE)</f>
        <v>1.1000000000000001</v>
      </c>
      <c r="G14" s="9">
        <f>VLOOKUP($D14,'4.เขตปรับKและเกลี่ยเงินเพิ่มฯ'!$E$10:$AJ$104,13,FALSE)</f>
        <v>105747379.33</v>
      </c>
      <c r="H14" s="9">
        <f>VLOOKUP($D14,'4.เขตปรับKและเกลี่ยเงินเพิ่มฯ'!$E$10:$AJ$104,14,FALSE)</f>
        <v>20590912.43</v>
      </c>
      <c r="I14" s="9">
        <f>VLOOKUP($D14,'4.เขตปรับKและเกลี่ยเงินเพิ่มฯ'!$E$10:$AJ$104,15,FALSE)+VLOOKUP($D14,'4.เขตปรับKและเกลี่ยเงินเพิ่มฯ'!$E$10:$AJ$104,16,FALSE)+VLOOKUP($D14,'4.เขตปรับKและเกลี่ยเงินเพิ่มฯ'!$E$10:$AJ$104,17,FALSE)</f>
        <v>188980001.05000001</v>
      </c>
      <c r="J14" s="9">
        <f>VLOOKUP($D14,'4.เขตปรับKและเกลี่ยเงินเพิ่มฯ'!$E$10:$AJ$104,18,FALSE)</f>
        <v>315318292.80999994</v>
      </c>
      <c r="K14" s="9">
        <f>VLOOKUP($D14,'4.เขตปรับKและเกลี่ยเงินเพิ่มฯ'!$E$10:$AJ$104,19,FALSE)</f>
        <v>150118533</v>
      </c>
      <c r="L14" s="9">
        <f>VLOOKUP($D14,'4.เขตปรับKและเกลี่ยเงินเพิ่มฯ'!$E$10:$AJ$104,20,FALSE)</f>
        <v>165199759.81</v>
      </c>
      <c r="M14" s="9">
        <f>VLOOKUP($D14,'4.เขตปรับKและเกลี่ยเงินเพิ่มฯ'!$E$10:$AJ$104,21,FALSE)</f>
        <v>0</v>
      </c>
      <c r="N14" s="9">
        <f>VLOOKUP($D14,'4.เขตปรับKและเกลี่ยเงินเพิ่มฯ'!$E$10:$AJ$104,22,FALSE)</f>
        <v>165199759.81</v>
      </c>
      <c r="O14" s="9">
        <f>VLOOKUP($D14,'4.เขตปรับKและเกลี่ยเงินเพิ่มฯ'!$E$10:$AJ$104,30,FALSE)</f>
        <v>0</v>
      </c>
      <c r="P14" s="9">
        <f>VLOOKUP($D14,'4.เขตปรับKและเกลี่ยเงินเพิ่มฯ'!$E$10:$AJ$104,32,FALSE)</f>
        <v>165199759.81</v>
      </c>
      <c r="Q14" s="9">
        <f>VLOOKUP($D14,'4.เขตปรับKและเกลี่ยเงินเพิ่มฯ'!$E$10:$AJ$104,26,FALSE)</f>
        <v>0</v>
      </c>
      <c r="R14" s="9">
        <f>VLOOKUP($D14,'4.เขตปรับKและเกลี่ยเงินเพิ่มฯ'!$E$10:$AJ$104,23,FALSE)</f>
        <v>148731292.12</v>
      </c>
    </row>
    <row r="15" spans="1:18" s="64" customFormat="1" ht="15" customHeight="1" outlineLevel="2">
      <c r="A15" s="67">
        <v>507</v>
      </c>
      <c r="B15" s="68" t="s">
        <v>26</v>
      </c>
      <c r="C15" s="68" t="s">
        <v>46</v>
      </c>
      <c r="D15" s="68" t="s">
        <v>49</v>
      </c>
      <c r="E15" s="68" t="s">
        <v>50</v>
      </c>
      <c r="F15" s="9">
        <f>VLOOKUP($D15,'4.เขตปรับKและเกลี่ยเงินเพิ่มฯ'!$E$10:$AJ$104,5,FALSE)</f>
        <v>1.1000000000000001</v>
      </c>
      <c r="G15" s="9">
        <f>VLOOKUP($D15,'4.เขตปรับKและเกลี่ยเงินเพิ่มฯ'!$E$10:$AJ$104,13,FALSE)</f>
        <v>80352103.390000001</v>
      </c>
      <c r="H15" s="9">
        <f>VLOOKUP($D15,'4.เขตปรับKและเกลี่ยเงินเพิ่มฯ'!$E$10:$AJ$104,14,FALSE)</f>
        <v>15645996.470000001</v>
      </c>
      <c r="I15" s="9">
        <f>VLOOKUP($D15,'4.เขตปรับKและเกลี่ยเงินเพิ่มฯ'!$E$10:$AJ$104,15,FALSE)+VLOOKUP($D15,'4.เขตปรับKและเกลี่ยเงินเพิ่มฯ'!$E$10:$AJ$104,16,FALSE)+VLOOKUP($D15,'4.เขตปรับKและเกลี่ยเงินเพิ่มฯ'!$E$10:$AJ$104,17,FALSE)</f>
        <v>26614024.879999999</v>
      </c>
      <c r="J15" s="9">
        <f>VLOOKUP($D15,'4.เขตปรับKและเกลี่ยเงินเพิ่มฯ'!$E$10:$AJ$104,18,FALSE)</f>
        <v>122612124.73999999</v>
      </c>
      <c r="K15" s="9">
        <f>VLOOKUP($D15,'4.เขตปรับKและเกลี่ยเงินเพิ่มฯ'!$E$10:$AJ$104,19,FALSE)</f>
        <v>45193575</v>
      </c>
      <c r="L15" s="9">
        <f>VLOOKUP($D15,'4.เขตปรับKและเกลี่ยเงินเพิ่มฯ'!$E$10:$AJ$104,20,FALSE)</f>
        <v>77418549.739999995</v>
      </c>
      <c r="M15" s="9">
        <f>VLOOKUP($D15,'4.เขตปรับKและเกลี่ยเงินเพิ่มฯ'!$E$10:$AJ$104,21,FALSE)</f>
        <v>0</v>
      </c>
      <c r="N15" s="9">
        <f>VLOOKUP($D15,'4.เขตปรับKและเกลี่ยเงินเพิ่มฯ'!$E$10:$AJ$104,22,FALSE)</f>
        <v>77418549.739999995</v>
      </c>
      <c r="O15" s="9">
        <f>VLOOKUP($D15,'4.เขตปรับKและเกลี่ยเงินเพิ่มฯ'!$E$10:$AJ$104,30,FALSE)</f>
        <v>0</v>
      </c>
      <c r="P15" s="9">
        <f>VLOOKUP($D15,'4.เขตปรับKและเกลี่ยเงินเพิ่มฯ'!$E$10:$AJ$104,32,FALSE)</f>
        <v>77418549.739999995</v>
      </c>
      <c r="Q15" s="9">
        <f>VLOOKUP($D15,'4.เขตปรับKและเกลี่ยเงินเพิ่มฯ'!$E$10:$AJ$104,26,FALSE)</f>
        <v>0</v>
      </c>
      <c r="R15" s="9">
        <f>VLOOKUP($D15,'4.เขตปรับKและเกลี่ยเงินเพิ่มฯ'!$E$10:$AJ$104,23,FALSE)</f>
        <v>64376825.770000003</v>
      </c>
    </row>
    <row r="16" spans="1:18" s="64" customFormat="1" ht="15" customHeight="1" outlineLevel="2">
      <c r="A16" s="67">
        <v>508</v>
      </c>
      <c r="B16" s="68" t="s">
        <v>26</v>
      </c>
      <c r="C16" s="68" t="s">
        <v>46</v>
      </c>
      <c r="D16" s="68" t="s">
        <v>51</v>
      </c>
      <c r="E16" s="68" t="s">
        <v>52</v>
      </c>
      <c r="F16" s="9">
        <f>VLOOKUP($D16,'4.เขตปรับKและเกลี่ยเงินเพิ่มฯ'!$E$10:$AJ$104,5,FALSE)</f>
        <v>1.2</v>
      </c>
      <c r="G16" s="9">
        <f>VLOOKUP($D16,'4.เขตปรับKและเกลี่ยเงินเพิ่มฯ'!$E$10:$AJ$104,13,FALSE)</f>
        <v>60678366.920000002</v>
      </c>
      <c r="H16" s="9">
        <f>VLOOKUP($D16,'4.เขตปรับKและเกลี่ยเงินเพิ่มฯ'!$E$10:$AJ$104,14,FALSE)</f>
        <v>11815166.93</v>
      </c>
      <c r="I16" s="9">
        <f>VLOOKUP($D16,'4.เขตปรับKและเกลี่ยเงินเพิ่มฯ'!$E$10:$AJ$104,15,FALSE)+VLOOKUP($D16,'4.เขตปรับKและเกลี่ยเงินเพิ่มฯ'!$E$10:$AJ$104,16,FALSE)+VLOOKUP($D16,'4.เขตปรับKและเกลี่ยเงินเพิ่มฯ'!$E$10:$AJ$104,17,FALSE)</f>
        <v>16036067.9</v>
      </c>
      <c r="J16" s="9">
        <f>VLOOKUP($D16,'4.เขตปรับKและเกลี่ยเงินเพิ่มฯ'!$E$10:$AJ$104,18,FALSE)</f>
        <v>88529601.749999985</v>
      </c>
      <c r="K16" s="9">
        <f>VLOOKUP($D16,'4.เขตปรับKและเกลี่ยเงินเพิ่มฯ'!$E$10:$AJ$104,19,FALSE)</f>
        <v>34357141</v>
      </c>
      <c r="L16" s="9">
        <f>VLOOKUP($D16,'4.เขตปรับKและเกลี่ยเงินเพิ่มฯ'!$E$10:$AJ$104,20,FALSE)</f>
        <v>54172460.75</v>
      </c>
      <c r="M16" s="9">
        <f>VLOOKUP($D16,'4.เขตปรับKและเกลี่ยเงินเพิ่มฯ'!$E$10:$AJ$104,21,FALSE)</f>
        <v>0</v>
      </c>
      <c r="N16" s="9">
        <f>VLOOKUP($D16,'4.เขตปรับKและเกลี่ยเงินเพิ่มฯ'!$E$10:$AJ$104,22,FALSE)</f>
        <v>54172460.75</v>
      </c>
      <c r="O16" s="9">
        <f>VLOOKUP($D16,'4.เขตปรับKและเกลี่ยเงินเพิ่มฯ'!$E$10:$AJ$104,30,FALSE)</f>
        <v>0</v>
      </c>
      <c r="P16" s="9">
        <f>VLOOKUP($D16,'4.เขตปรับKและเกลี่ยเงินเพิ่มฯ'!$E$10:$AJ$104,32,FALSE)</f>
        <v>54172460.75</v>
      </c>
      <c r="Q16" s="9">
        <f>VLOOKUP($D16,'4.เขตปรับKและเกลี่ยเงินเพิ่มฯ'!$E$10:$AJ$104,26,FALSE)</f>
        <v>0</v>
      </c>
      <c r="R16" s="9">
        <f>VLOOKUP($D16,'4.เขตปรับKและเกลี่ยเงินเพิ่มฯ'!$E$10:$AJ$104,23,FALSE)</f>
        <v>46424601.329999998</v>
      </c>
    </row>
    <row r="17" spans="1:18" s="64" customFormat="1" ht="15" customHeight="1" outlineLevel="2">
      <c r="A17" s="67">
        <v>509</v>
      </c>
      <c r="B17" s="68" t="s">
        <v>26</v>
      </c>
      <c r="C17" s="68" t="s">
        <v>46</v>
      </c>
      <c r="D17" s="68" t="s">
        <v>53</v>
      </c>
      <c r="E17" s="68" t="s">
        <v>54</v>
      </c>
      <c r="F17" s="9">
        <f>VLOOKUP($D17,'4.เขตปรับKและเกลี่ยเงินเพิ่มฯ'!$E$10:$AJ$104,5,FALSE)</f>
        <v>1.1000000000000001</v>
      </c>
      <c r="G17" s="9">
        <f>VLOOKUP($D17,'4.เขตปรับKและเกลี่ยเงินเพิ่มฯ'!$E$10:$AJ$104,13,FALSE)</f>
        <v>91112090.340000004</v>
      </c>
      <c r="H17" s="9">
        <f>VLOOKUP($D17,'4.เขตปรับKและเกลี่ยเงินเพิ่มฯ'!$E$10:$AJ$104,14,FALSE)</f>
        <v>17741159.030000001</v>
      </c>
      <c r="I17" s="9">
        <f>VLOOKUP($D17,'4.เขตปรับKและเกลี่ยเงินเพิ่มฯ'!$E$10:$AJ$104,15,FALSE)+VLOOKUP($D17,'4.เขตปรับKและเกลี่ยเงินเพิ่มฯ'!$E$10:$AJ$104,16,FALSE)+VLOOKUP($D17,'4.เขตปรับKและเกลี่ยเงินเพิ่มฯ'!$E$10:$AJ$104,17,FALSE)</f>
        <v>39299115.509999998</v>
      </c>
      <c r="J17" s="9">
        <f>VLOOKUP($D17,'4.เขตปรับKและเกลี่ยเงินเพิ่มฯ'!$E$10:$AJ$104,18,FALSE)</f>
        <v>148152364.88000003</v>
      </c>
      <c r="K17" s="9">
        <f>VLOOKUP($D17,'4.เขตปรับKและเกลี่ยเงินเพิ่มฯ'!$E$10:$AJ$104,19,FALSE)</f>
        <v>53633607</v>
      </c>
      <c r="L17" s="9">
        <f>VLOOKUP($D17,'4.เขตปรับKและเกลี่ยเงินเพิ่มฯ'!$E$10:$AJ$104,20,FALSE)</f>
        <v>94518757.879999995</v>
      </c>
      <c r="M17" s="9">
        <f>VLOOKUP($D17,'4.เขตปรับKและเกลี่ยเงินเพิ่มฯ'!$E$10:$AJ$104,21,FALSE)</f>
        <v>0</v>
      </c>
      <c r="N17" s="9">
        <f>VLOOKUP($D17,'4.เขตปรับKและเกลี่ยเงินเพิ่มฯ'!$E$10:$AJ$104,22,FALSE)</f>
        <v>94518757.879999995</v>
      </c>
      <c r="O17" s="9">
        <f>VLOOKUP($D17,'4.เขตปรับKและเกลี่ยเงินเพิ่มฯ'!$E$10:$AJ$104,30,FALSE)</f>
        <v>0</v>
      </c>
      <c r="P17" s="9">
        <f>VLOOKUP($D17,'4.เขตปรับKและเกลี่ยเงินเพิ่มฯ'!$E$10:$AJ$104,32,FALSE)</f>
        <v>94518757.879999995</v>
      </c>
      <c r="Q17" s="9">
        <f>VLOOKUP($D17,'4.เขตปรับKและเกลี่ยเงินเพิ่มฯ'!$E$10:$AJ$104,26,FALSE)</f>
        <v>0</v>
      </c>
      <c r="R17" s="9">
        <f>VLOOKUP($D17,'4.เขตปรับKและเกลี่ยเงินเพิ่มฯ'!$E$10:$AJ$104,23,FALSE)</f>
        <v>85023250.370000005</v>
      </c>
    </row>
    <row r="18" spans="1:18" s="64" customFormat="1" ht="15" customHeight="1" outlineLevel="2">
      <c r="A18" s="67">
        <v>510</v>
      </c>
      <c r="B18" s="68" t="s">
        <v>26</v>
      </c>
      <c r="C18" s="68" t="s">
        <v>46</v>
      </c>
      <c r="D18" s="68" t="s">
        <v>55</v>
      </c>
      <c r="E18" s="68" t="s">
        <v>56</v>
      </c>
      <c r="F18" s="9">
        <f>VLOOKUP($D18,'4.เขตปรับKและเกลี่ยเงินเพิ่มฯ'!$E$10:$AJ$104,5,FALSE)</f>
        <v>1.1499999999999999</v>
      </c>
      <c r="G18" s="9">
        <f>VLOOKUP($D18,'4.เขตปรับKและเกลี่ยเงินเพิ่มฯ'!$E$10:$AJ$104,13,FALSE)</f>
        <v>66642090.75</v>
      </c>
      <c r="H18" s="9">
        <f>VLOOKUP($D18,'4.เขตปรับKและเกลี่ยเงินเพิ่มฯ'!$E$10:$AJ$104,14,FALSE)</f>
        <v>12976410.98</v>
      </c>
      <c r="I18" s="9">
        <f>VLOOKUP($D18,'4.เขตปรับKและเกลี่ยเงินเพิ่มฯ'!$E$10:$AJ$104,15,FALSE)+VLOOKUP($D18,'4.เขตปรับKและเกลี่ยเงินเพิ่มฯ'!$E$10:$AJ$104,16,FALSE)+VLOOKUP($D18,'4.เขตปรับKและเกลี่ยเงินเพิ่มฯ'!$E$10:$AJ$104,17,FALSE)</f>
        <v>19406711.629999999</v>
      </c>
      <c r="J18" s="9">
        <f>VLOOKUP($D18,'4.เขตปรับKและเกลี่ยเงินเพิ่มฯ'!$E$10:$AJ$104,18,FALSE)</f>
        <v>99025213.359999999</v>
      </c>
      <c r="K18" s="9">
        <f>VLOOKUP($D18,'4.เขตปรับKและเกลี่ยเงินเพิ่มฯ'!$E$10:$AJ$104,19,FALSE)</f>
        <v>34616842</v>
      </c>
      <c r="L18" s="9">
        <f>VLOOKUP($D18,'4.เขตปรับKและเกลี่ยเงินเพิ่มฯ'!$E$10:$AJ$104,20,FALSE)</f>
        <v>64408371.359999999</v>
      </c>
      <c r="M18" s="9">
        <f>VLOOKUP($D18,'4.เขตปรับKและเกลี่ยเงินเพิ่มฯ'!$E$10:$AJ$104,21,FALSE)</f>
        <v>0</v>
      </c>
      <c r="N18" s="9">
        <f>VLOOKUP($D18,'4.เขตปรับKและเกลี่ยเงินเพิ่มฯ'!$E$10:$AJ$104,22,FALSE)</f>
        <v>64408371.359999999</v>
      </c>
      <c r="O18" s="9">
        <f>VLOOKUP($D18,'4.เขตปรับKและเกลี่ยเงินเพิ่มฯ'!$E$10:$AJ$104,30,FALSE)</f>
        <v>0</v>
      </c>
      <c r="P18" s="9">
        <f>VLOOKUP($D18,'4.เขตปรับKและเกลี่ยเงินเพิ่มฯ'!$E$10:$AJ$104,32,FALSE)</f>
        <v>64408371.359999999</v>
      </c>
      <c r="Q18" s="9">
        <f>VLOOKUP($D18,'4.เขตปรับKและเกลี่ยเงินเพิ่มฯ'!$E$10:$AJ$104,26,FALSE)</f>
        <v>0</v>
      </c>
      <c r="R18" s="9">
        <f>VLOOKUP($D18,'4.เขตปรับKและเกลี่ยเงินเพิ่มฯ'!$E$10:$AJ$104,23,FALSE)</f>
        <v>58561726.520000003</v>
      </c>
    </row>
    <row r="19" spans="1:18" s="64" customFormat="1" ht="15" customHeight="1" outlineLevel="2">
      <c r="A19" s="67">
        <v>511</v>
      </c>
      <c r="B19" s="68" t="s">
        <v>26</v>
      </c>
      <c r="C19" s="68" t="s">
        <v>46</v>
      </c>
      <c r="D19" s="68" t="s">
        <v>57</v>
      </c>
      <c r="E19" s="68" t="s">
        <v>58</v>
      </c>
      <c r="F19" s="9">
        <f>VLOOKUP($D19,'4.เขตปรับKและเกลี่ยเงินเพิ่มฯ'!$E$10:$AJ$104,5,FALSE)</f>
        <v>1.3</v>
      </c>
      <c r="G19" s="9">
        <f>VLOOKUP($D19,'4.เขตปรับKและเกลี่ยเงินเพิ่มฯ'!$E$10:$AJ$104,13,FALSE)</f>
        <v>41958132.289999999</v>
      </c>
      <c r="H19" s="9">
        <f>VLOOKUP($D19,'4.เขตปรับKและเกลี่ยเงินเพิ่มฯ'!$E$10:$AJ$104,14,FALSE)</f>
        <v>8170001.3099999996</v>
      </c>
      <c r="I19" s="9">
        <f>VLOOKUP($D19,'4.เขตปรับKและเกลี่ยเงินเพิ่มฯ'!$E$10:$AJ$104,15,FALSE)+VLOOKUP($D19,'4.เขตปรับKและเกลี่ยเงินเพิ่มฯ'!$E$10:$AJ$104,16,FALSE)+VLOOKUP($D19,'4.เขตปรับKและเกลี่ยเงินเพิ่มฯ'!$E$10:$AJ$104,17,FALSE)</f>
        <v>14888673.48</v>
      </c>
      <c r="J19" s="9">
        <f>VLOOKUP($D19,'4.เขตปรับKและเกลี่ยเงินเพิ่มฯ'!$E$10:$AJ$104,18,FALSE)</f>
        <v>65016807.079999998</v>
      </c>
      <c r="K19" s="9">
        <f>VLOOKUP($D19,'4.เขตปรับKและเกลี่ยเงินเพิ่มฯ'!$E$10:$AJ$104,19,FALSE)</f>
        <v>18922497</v>
      </c>
      <c r="L19" s="9">
        <f>VLOOKUP($D19,'4.เขตปรับKและเกลี่ยเงินเพิ่มฯ'!$E$10:$AJ$104,20,FALSE)</f>
        <v>46094310.079999998</v>
      </c>
      <c r="M19" s="9">
        <f>VLOOKUP($D19,'4.เขตปรับKและเกลี่ยเงินเพิ่มฯ'!$E$10:$AJ$104,21,FALSE)</f>
        <v>0</v>
      </c>
      <c r="N19" s="9">
        <f>VLOOKUP($D19,'4.เขตปรับKและเกลี่ยเงินเพิ่มฯ'!$E$10:$AJ$104,22,FALSE)</f>
        <v>46094310.079999998</v>
      </c>
      <c r="O19" s="9">
        <f>VLOOKUP($D19,'4.เขตปรับKและเกลี่ยเงินเพิ่มฯ'!$E$10:$AJ$104,30,FALSE)</f>
        <v>0</v>
      </c>
      <c r="P19" s="9">
        <f>VLOOKUP($D19,'4.เขตปรับKและเกลี่ยเงินเพิ่มฯ'!$E$10:$AJ$104,32,FALSE)</f>
        <v>46094310.079999998</v>
      </c>
      <c r="Q19" s="9">
        <f>VLOOKUP($D19,'4.เขตปรับKและเกลี่ยเงินเพิ่มฯ'!$E$10:$AJ$104,26,FALSE)</f>
        <v>0</v>
      </c>
      <c r="R19" s="9">
        <f>VLOOKUP($D19,'4.เขตปรับKและเกลี่ยเงินเพิ่มฯ'!$E$10:$AJ$104,23,FALSE)</f>
        <v>37703472.600000001</v>
      </c>
    </row>
    <row r="20" spans="1:18" s="64" customFormat="1" ht="15" customHeight="1" outlineLevel="1">
      <c r="A20" s="143"/>
      <c r="B20" s="144"/>
      <c r="C20" s="145" t="s">
        <v>280</v>
      </c>
      <c r="D20" s="144"/>
      <c r="E20" s="144"/>
      <c r="F20" s="190"/>
      <c r="G20" s="190">
        <f t="shared" ref="G20:R20" si="1">SUBTOTAL(9,G14:G19)</f>
        <v>446490163.02000004</v>
      </c>
      <c r="H20" s="190">
        <f t="shared" si="1"/>
        <v>86939647.150000006</v>
      </c>
      <c r="I20" s="190">
        <f t="shared" si="1"/>
        <v>305224594.45000005</v>
      </c>
      <c r="J20" s="190">
        <f t="shared" si="1"/>
        <v>838654404.62</v>
      </c>
      <c r="K20" s="190">
        <f t="shared" si="1"/>
        <v>336842195</v>
      </c>
      <c r="L20" s="190">
        <f t="shared" si="1"/>
        <v>501812209.62</v>
      </c>
      <c r="M20" s="190">
        <f t="shared" si="1"/>
        <v>0</v>
      </c>
      <c r="N20" s="190">
        <f t="shared" si="1"/>
        <v>501812209.62</v>
      </c>
      <c r="O20" s="190">
        <f t="shared" si="1"/>
        <v>0</v>
      </c>
      <c r="P20" s="190">
        <f t="shared" si="1"/>
        <v>501812209.62</v>
      </c>
      <c r="Q20" s="190">
        <f t="shared" si="1"/>
        <v>0</v>
      </c>
      <c r="R20" s="190">
        <f t="shared" si="1"/>
        <v>440821168.71000004</v>
      </c>
    </row>
    <row r="21" spans="1:18" s="64" customFormat="1" ht="15" customHeight="1" outlineLevel="2">
      <c r="A21" s="67">
        <v>512</v>
      </c>
      <c r="B21" s="68" t="s">
        <v>26</v>
      </c>
      <c r="C21" s="68" t="s">
        <v>60</v>
      </c>
      <c r="D21" s="68" t="s">
        <v>61</v>
      </c>
      <c r="E21" s="68" t="s">
        <v>62</v>
      </c>
      <c r="F21" s="9">
        <f>VLOOKUP($D21,'4.เขตปรับKและเกลี่ยเงินเพิ่มฯ'!$E$10:$AJ$104,5,FALSE)</f>
        <v>1</v>
      </c>
      <c r="G21" s="9">
        <f>VLOOKUP($D21,'4.เขตปรับKและเกลี่ยเงินเพิ่มฯ'!$E$10:$AJ$104,13,FALSE)</f>
        <v>217736290.46000001</v>
      </c>
      <c r="H21" s="9">
        <f>VLOOKUP($D21,'4.เขตปรับKและเกลี่ยเงินเพิ่มฯ'!$E$10:$AJ$104,14,FALSE)</f>
        <v>42998485.759999998</v>
      </c>
      <c r="I21" s="9">
        <f>VLOOKUP($D21,'4.เขตปรับKและเกลี่ยเงินเพิ่มฯ'!$E$10:$AJ$104,15,FALSE)+VLOOKUP($D21,'4.เขตปรับKและเกลี่ยเงินเพิ่มฯ'!$E$10:$AJ$104,16,FALSE)+VLOOKUP($D21,'4.เขตปรับKและเกลี่ยเงินเพิ่มฯ'!$E$10:$AJ$104,17,FALSE)</f>
        <v>886420221.25999999</v>
      </c>
      <c r="J21" s="9">
        <f>VLOOKUP($D21,'4.เขตปรับKและเกลี่ยเงินเพิ่มฯ'!$E$10:$AJ$104,18,FALSE)</f>
        <v>1147154997.48</v>
      </c>
      <c r="K21" s="9">
        <f>VLOOKUP($D21,'4.เขตปรับKและเกลี่ยเงินเพิ่มฯ'!$E$10:$AJ$104,19,FALSE)</f>
        <v>508411227</v>
      </c>
      <c r="L21" s="9">
        <f>VLOOKUP($D21,'4.เขตปรับKและเกลี่ยเงินเพิ่มฯ'!$E$10:$AJ$104,20,FALSE)</f>
        <v>638743770.48000002</v>
      </c>
      <c r="M21" s="9">
        <f>VLOOKUP($D21,'4.เขตปรับKและเกลี่ยเงินเพิ่มฯ'!$E$10:$AJ$104,21,FALSE)</f>
        <v>0</v>
      </c>
      <c r="N21" s="9">
        <f>VLOOKUP($D21,'4.เขตปรับKและเกลี่ยเงินเพิ่มฯ'!$E$10:$AJ$104,22,FALSE)</f>
        <v>638743770.48000002</v>
      </c>
      <c r="O21" s="9">
        <f>VLOOKUP($D21,'4.เขตปรับKและเกลี่ยเงินเพิ่มฯ'!$E$10:$AJ$104,30,FALSE)</f>
        <v>0</v>
      </c>
      <c r="P21" s="9">
        <f>VLOOKUP($D21,'4.เขตปรับKและเกลี่ยเงินเพิ่มฯ'!$E$10:$AJ$104,32,FALSE)</f>
        <v>638743770.48000002</v>
      </c>
      <c r="Q21" s="9">
        <f>VLOOKUP($D21,'4.เขตปรับKและเกลี่ยเงินเพิ่มฯ'!$E$10:$AJ$104,26,FALSE)</f>
        <v>0</v>
      </c>
      <c r="R21" s="9">
        <f>VLOOKUP($D21,'4.เขตปรับKและเกลี่ยเงินเพิ่มฯ'!$E$10:$AJ$104,23,FALSE)</f>
        <v>621073047.52999997</v>
      </c>
    </row>
    <row r="22" spans="1:18" s="64" customFormat="1" ht="15" customHeight="1" outlineLevel="2">
      <c r="A22" s="67">
        <v>513</v>
      </c>
      <c r="B22" s="68" t="s">
        <v>26</v>
      </c>
      <c r="C22" s="68" t="s">
        <v>60</v>
      </c>
      <c r="D22" s="68" t="s">
        <v>63</v>
      </c>
      <c r="E22" s="68" t="s">
        <v>64</v>
      </c>
      <c r="F22" s="9">
        <f>VLOOKUP($D22,'4.เขตปรับKและเกลี่ยเงินเพิ่มฯ'!$E$10:$AJ$104,5,FALSE)</f>
        <v>1.1499999999999999</v>
      </c>
      <c r="G22" s="9">
        <f>VLOOKUP($D22,'4.เขตปรับKและเกลี่ยเงินเพิ่มฯ'!$E$10:$AJ$104,13,FALSE)</f>
        <v>64077905.060000002</v>
      </c>
      <c r="H22" s="9">
        <f>VLOOKUP($D22,'4.เขตปรับKและเกลี่ยเงินเพิ่มฯ'!$E$10:$AJ$104,14,FALSE)</f>
        <v>12654082.07</v>
      </c>
      <c r="I22" s="9">
        <f>VLOOKUP($D22,'4.เขตปรับKและเกลี่ยเงินเพิ่มฯ'!$E$10:$AJ$104,15,FALSE)+VLOOKUP($D22,'4.เขตปรับKและเกลี่ยเงินเพิ่มฯ'!$E$10:$AJ$104,16,FALSE)+VLOOKUP($D22,'4.เขตปรับKและเกลี่ยเงินเพิ่มฯ'!$E$10:$AJ$104,17,FALSE)</f>
        <v>21333421.16</v>
      </c>
      <c r="J22" s="9">
        <f>VLOOKUP($D22,'4.เขตปรับKและเกลี่ยเงินเพิ่มฯ'!$E$10:$AJ$104,18,FALSE)</f>
        <v>98065408.289999992</v>
      </c>
      <c r="K22" s="9">
        <f>VLOOKUP($D22,'4.เขตปรับKและเกลี่ยเงินเพิ่มฯ'!$E$10:$AJ$104,19,FALSE)</f>
        <v>33803447</v>
      </c>
      <c r="L22" s="9">
        <f>VLOOKUP($D22,'4.เขตปรับKและเกลี่ยเงินเพิ่มฯ'!$E$10:$AJ$104,20,FALSE)</f>
        <v>64261961.289999999</v>
      </c>
      <c r="M22" s="9">
        <f>VLOOKUP($D22,'4.เขตปรับKและเกลี่ยเงินเพิ่มฯ'!$E$10:$AJ$104,21,FALSE)</f>
        <v>0</v>
      </c>
      <c r="N22" s="9">
        <f>VLOOKUP($D22,'4.เขตปรับKและเกลี่ยเงินเพิ่มฯ'!$E$10:$AJ$104,22,FALSE)</f>
        <v>64261961.289999999</v>
      </c>
      <c r="O22" s="9">
        <f>VLOOKUP($D22,'4.เขตปรับKและเกลี่ยเงินเพิ่มฯ'!$E$10:$AJ$104,30,FALSE)</f>
        <v>0</v>
      </c>
      <c r="P22" s="9">
        <f>VLOOKUP($D22,'4.เขตปรับKและเกลี่ยเงินเพิ่มฯ'!$E$10:$AJ$104,32,FALSE)</f>
        <v>64261961.289999999</v>
      </c>
      <c r="Q22" s="9">
        <f>VLOOKUP($D22,'4.เขตปรับKและเกลี่ยเงินเพิ่มฯ'!$E$10:$AJ$104,26,FALSE)</f>
        <v>0</v>
      </c>
      <c r="R22" s="9">
        <f>VLOOKUP($D22,'4.เขตปรับKและเกลี่ยเงินเพิ่มฯ'!$E$10:$AJ$104,23,FALSE)</f>
        <v>48818763.439999998</v>
      </c>
    </row>
    <row r="23" spans="1:18" s="64" customFormat="1" ht="15" customHeight="1" outlineLevel="2">
      <c r="A23" s="67">
        <v>514</v>
      </c>
      <c r="B23" s="68" t="s">
        <v>26</v>
      </c>
      <c r="C23" s="68" t="s">
        <v>60</v>
      </c>
      <c r="D23" s="68" t="s">
        <v>65</v>
      </c>
      <c r="E23" s="68" t="s">
        <v>66</v>
      </c>
      <c r="F23" s="9">
        <f>VLOOKUP($D23,'4.เขตปรับKและเกลี่ยเงินเพิ่มฯ'!$E$10:$AJ$104,5,FALSE)</f>
        <v>1.2</v>
      </c>
      <c r="G23" s="9">
        <f>VLOOKUP($D23,'4.เขตปรับKและเกลี่ยเงินเพิ่มฯ'!$E$10:$AJ$104,13,FALSE)</f>
        <v>62509841.780000001</v>
      </c>
      <c r="H23" s="9">
        <f>VLOOKUP($D23,'4.เขตปรับKและเกลี่ยเงินเพิ่มฯ'!$E$10:$AJ$104,14,FALSE)</f>
        <v>12344421.48</v>
      </c>
      <c r="I23" s="9">
        <f>VLOOKUP($D23,'4.เขตปรับKและเกลี่ยเงินเพิ่มฯ'!$E$10:$AJ$104,15,FALSE)+VLOOKUP($D23,'4.เขตปรับKและเกลี่ยเงินเพิ่มฯ'!$E$10:$AJ$104,16,FALSE)+VLOOKUP($D23,'4.เขตปรับKและเกลี่ยเงินเพิ่มฯ'!$E$10:$AJ$104,17,FALSE)</f>
        <v>19853637.039999999</v>
      </c>
      <c r="J23" s="9">
        <f>VLOOKUP($D23,'4.เขตปรับKและเกลี่ยเงินเพิ่มฯ'!$E$10:$AJ$104,18,FALSE)</f>
        <v>94707900.300000012</v>
      </c>
      <c r="K23" s="9">
        <f>VLOOKUP($D23,'4.เขตปรับKและเกลี่ยเงินเพิ่มฯ'!$E$10:$AJ$104,19,FALSE)</f>
        <v>40834521</v>
      </c>
      <c r="L23" s="9">
        <f>VLOOKUP($D23,'4.เขตปรับKและเกลี่ยเงินเพิ่มฯ'!$E$10:$AJ$104,20,FALSE)</f>
        <v>53873379.299999997</v>
      </c>
      <c r="M23" s="9">
        <f>VLOOKUP($D23,'4.เขตปรับKและเกลี่ยเงินเพิ่มฯ'!$E$10:$AJ$104,21,FALSE)</f>
        <v>0</v>
      </c>
      <c r="N23" s="9">
        <f>VLOOKUP($D23,'4.เขตปรับKและเกลี่ยเงินเพิ่มฯ'!$E$10:$AJ$104,22,FALSE)</f>
        <v>53873379.299999997</v>
      </c>
      <c r="O23" s="9">
        <f>VLOOKUP($D23,'4.เขตปรับKและเกลี่ยเงินเพิ่มฯ'!$E$10:$AJ$104,30,FALSE)</f>
        <v>0</v>
      </c>
      <c r="P23" s="9">
        <f>VLOOKUP($D23,'4.เขตปรับKและเกลี่ยเงินเพิ่มฯ'!$E$10:$AJ$104,32,FALSE)</f>
        <v>53873379.299999997</v>
      </c>
      <c r="Q23" s="9">
        <f>VLOOKUP($D23,'4.เขตปรับKและเกลี่ยเงินเพิ่มฯ'!$E$10:$AJ$104,26,FALSE)</f>
        <v>0</v>
      </c>
      <c r="R23" s="9">
        <f>VLOOKUP($D23,'4.เขตปรับKและเกลี่ยเงินเพิ่มฯ'!$E$10:$AJ$104,23,FALSE)</f>
        <v>46747503.43</v>
      </c>
    </row>
    <row r="24" spans="1:18" s="64" customFormat="1" ht="15" customHeight="1" outlineLevel="2">
      <c r="A24" s="67">
        <v>515</v>
      </c>
      <c r="B24" s="68" t="s">
        <v>26</v>
      </c>
      <c r="C24" s="68" t="s">
        <v>60</v>
      </c>
      <c r="D24" s="68" t="s">
        <v>67</v>
      </c>
      <c r="E24" s="68" t="s">
        <v>68</v>
      </c>
      <c r="F24" s="9">
        <f>VLOOKUP($D24,'4.เขตปรับKและเกลี่ยเงินเพิ่มฯ'!$E$10:$AJ$104,5,FALSE)</f>
        <v>1.1499999999999999</v>
      </c>
      <c r="G24" s="9">
        <f>VLOOKUP($D24,'4.เขตปรับKและเกลี่ยเงินเพิ่มฯ'!$E$10:$AJ$104,13,FALSE)</f>
        <v>91487473.959999993</v>
      </c>
      <c r="H24" s="9">
        <f>VLOOKUP($D24,'4.เขตปรับKและเกลี่ยเงินเพิ่มฯ'!$E$10:$AJ$104,14,FALSE)</f>
        <v>18066914.059999999</v>
      </c>
      <c r="I24" s="9">
        <f>VLOOKUP($D24,'4.เขตปรับKและเกลี่ยเงินเพิ่มฯ'!$E$10:$AJ$104,15,FALSE)+VLOOKUP($D24,'4.เขตปรับKและเกลี่ยเงินเพิ่มฯ'!$E$10:$AJ$104,16,FALSE)+VLOOKUP($D24,'4.เขตปรับKและเกลี่ยเงินเพิ่มฯ'!$E$10:$AJ$104,17,FALSE)</f>
        <v>113930025.21000001</v>
      </c>
      <c r="J24" s="9">
        <f>VLOOKUP($D24,'4.เขตปรับKและเกลี่ยเงินเพิ่มฯ'!$E$10:$AJ$104,18,FALSE)</f>
        <v>223484413.22999996</v>
      </c>
      <c r="K24" s="9">
        <f>VLOOKUP($D24,'4.เขตปรับKและเกลี่ยเงินเพิ่มฯ'!$E$10:$AJ$104,19,FALSE)</f>
        <v>96803058</v>
      </c>
      <c r="L24" s="9">
        <f>VLOOKUP($D24,'4.เขตปรับKและเกลี่ยเงินเพิ่มฯ'!$E$10:$AJ$104,20,FALSE)</f>
        <v>126681355.23</v>
      </c>
      <c r="M24" s="9">
        <f>VLOOKUP($D24,'4.เขตปรับKและเกลี่ยเงินเพิ่มฯ'!$E$10:$AJ$104,21,FALSE)</f>
        <v>0</v>
      </c>
      <c r="N24" s="9">
        <f>VLOOKUP($D24,'4.เขตปรับKและเกลี่ยเงินเพิ่มฯ'!$E$10:$AJ$104,22,FALSE)</f>
        <v>126681355.23</v>
      </c>
      <c r="O24" s="9">
        <f>VLOOKUP($D24,'4.เขตปรับKและเกลี่ยเงินเพิ่มฯ'!$E$10:$AJ$104,30,FALSE)</f>
        <v>0</v>
      </c>
      <c r="P24" s="9">
        <f>VLOOKUP($D24,'4.เขตปรับKและเกลี่ยเงินเพิ่มฯ'!$E$10:$AJ$104,32,FALSE)</f>
        <v>126681355.23</v>
      </c>
      <c r="Q24" s="9">
        <f>VLOOKUP($D24,'4.เขตปรับKและเกลี่ยเงินเพิ่มฯ'!$E$10:$AJ$104,26,FALSE)</f>
        <v>0</v>
      </c>
      <c r="R24" s="9">
        <f>VLOOKUP($D24,'4.เขตปรับKและเกลี่ยเงินเพิ่มฯ'!$E$10:$AJ$104,23,FALSE)</f>
        <v>106560462.81999999</v>
      </c>
    </row>
    <row r="25" spans="1:18" s="64" customFormat="1" ht="15" customHeight="1" outlineLevel="2">
      <c r="A25" s="67">
        <v>516</v>
      </c>
      <c r="B25" s="68" t="s">
        <v>26</v>
      </c>
      <c r="C25" s="68" t="s">
        <v>60</v>
      </c>
      <c r="D25" s="68" t="s">
        <v>69</v>
      </c>
      <c r="E25" s="68" t="s">
        <v>70</v>
      </c>
      <c r="F25" s="9">
        <f>VLOOKUP($D25,'4.เขตปรับKและเกลี่ยเงินเพิ่มฯ'!$E$10:$AJ$104,5,FALSE)</f>
        <v>1.5</v>
      </c>
      <c r="G25" s="9">
        <f>VLOOKUP($D25,'4.เขตปรับKและเกลี่ยเงินเพิ่มฯ'!$E$10:$AJ$104,13,FALSE)</f>
        <v>7056632.29</v>
      </c>
      <c r="H25" s="9">
        <f>VLOOKUP($D25,'4.เขตปรับKและเกลี่ยเงินเพิ่มฯ'!$E$10:$AJ$104,14,FALSE)</f>
        <v>1393541.25</v>
      </c>
      <c r="I25" s="9">
        <f>VLOOKUP($D25,'4.เขตปรับKและเกลี่ยเงินเพิ่มฯ'!$E$10:$AJ$104,15,FALSE)+VLOOKUP($D25,'4.เขตปรับKและเกลี่ยเงินเพิ่มฯ'!$E$10:$AJ$104,16,FALSE)+VLOOKUP($D25,'4.เขตปรับKและเกลี่ยเงินเพิ่มฯ'!$E$10:$AJ$104,17,FALSE)</f>
        <v>0</v>
      </c>
      <c r="J25" s="9">
        <f>VLOOKUP($D25,'4.เขตปรับKและเกลี่ยเงินเพิ่มฯ'!$E$10:$AJ$104,18,FALSE)</f>
        <v>8450173.5399999991</v>
      </c>
      <c r="K25" s="9">
        <f>VLOOKUP($D25,'4.เขตปรับKและเกลี่ยเงินเพิ่มฯ'!$E$10:$AJ$104,19,FALSE)</f>
        <v>7863327</v>
      </c>
      <c r="L25" s="9">
        <f>VLOOKUP($D25,'4.เขตปรับKและเกลี่ยเงินเพิ่มฯ'!$E$10:$AJ$104,20,FALSE)</f>
        <v>586846.54</v>
      </c>
      <c r="M25" s="9">
        <f>VLOOKUP($D25,'4.เขตปรับKและเกลี่ยเงินเพิ่มฯ'!$E$10:$AJ$104,21,FALSE)</f>
        <v>9413153.4600000009</v>
      </c>
      <c r="N25" s="9">
        <f>VLOOKUP($D25,'4.เขตปรับKและเกลี่ยเงินเพิ่มฯ'!$E$10:$AJ$104,22,FALSE)</f>
        <v>10000000</v>
      </c>
      <c r="O25" s="9">
        <f>VLOOKUP($D25,'4.เขตปรับKและเกลี่ยเงินเพิ่มฯ'!$E$10:$AJ$104,30,FALSE)</f>
        <v>0</v>
      </c>
      <c r="P25" s="9">
        <f>VLOOKUP($D25,'4.เขตปรับKและเกลี่ยเงินเพิ่มฯ'!$E$10:$AJ$104,32,FALSE)</f>
        <v>10000000</v>
      </c>
      <c r="Q25" s="9">
        <f>VLOOKUP($D25,'4.เขตปรับKและเกลี่ยเงินเพิ่มฯ'!$E$10:$AJ$104,26,FALSE)</f>
        <v>0</v>
      </c>
      <c r="R25" s="9">
        <f>VLOOKUP($D25,'4.เขตปรับKและเกลี่ยเงินเพิ่มฯ'!$E$10:$AJ$104,23,FALSE)</f>
        <v>10000000</v>
      </c>
    </row>
    <row r="26" spans="1:18" s="64" customFormat="1" ht="15" customHeight="1" outlineLevel="2">
      <c r="A26" s="67">
        <v>517</v>
      </c>
      <c r="B26" s="68" t="s">
        <v>26</v>
      </c>
      <c r="C26" s="68" t="s">
        <v>60</v>
      </c>
      <c r="D26" s="68" t="s">
        <v>71</v>
      </c>
      <c r="E26" s="68" t="s">
        <v>72</v>
      </c>
      <c r="F26" s="9">
        <f>VLOOKUP($D26,'4.เขตปรับKและเกลี่ยเงินเพิ่มฯ'!$E$10:$AJ$104,5,FALSE)</f>
        <v>1.25</v>
      </c>
      <c r="G26" s="9">
        <f>VLOOKUP($D26,'4.เขตปรับKและเกลี่ยเงินเพิ่มฯ'!$E$10:$AJ$104,13,FALSE)</f>
        <v>50030323.969999999</v>
      </c>
      <c r="H26" s="9">
        <f>VLOOKUP($D26,'4.เขตปรับKและเกลี่ยเงินเพิ่มฯ'!$E$10:$AJ$104,14,FALSE)</f>
        <v>9879970.7100000009</v>
      </c>
      <c r="I26" s="9">
        <f>VLOOKUP($D26,'4.เขตปรับKและเกลี่ยเงินเพิ่มฯ'!$E$10:$AJ$104,15,FALSE)+VLOOKUP($D26,'4.เขตปรับKและเกลี่ยเงินเพิ่มฯ'!$E$10:$AJ$104,16,FALSE)+VLOOKUP($D26,'4.เขตปรับKและเกลี่ยเงินเพิ่มฯ'!$E$10:$AJ$104,17,FALSE)</f>
        <v>19487632.490000002</v>
      </c>
      <c r="J26" s="9">
        <f>VLOOKUP($D26,'4.เขตปรับKและเกลี่ยเงินเพิ่มฯ'!$E$10:$AJ$104,18,FALSE)</f>
        <v>79397927.169999987</v>
      </c>
      <c r="K26" s="9">
        <f>VLOOKUP($D26,'4.เขตปรับKและเกลี่ยเงินเพิ่มฯ'!$E$10:$AJ$104,19,FALSE)</f>
        <v>29450868</v>
      </c>
      <c r="L26" s="9">
        <f>VLOOKUP($D26,'4.เขตปรับKและเกลี่ยเงินเพิ่มฯ'!$E$10:$AJ$104,20,FALSE)</f>
        <v>49947059.170000002</v>
      </c>
      <c r="M26" s="9">
        <f>VLOOKUP($D26,'4.เขตปรับKและเกลี่ยเงินเพิ่มฯ'!$E$10:$AJ$104,21,FALSE)</f>
        <v>0</v>
      </c>
      <c r="N26" s="9">
        <f>VLOOKUP($D26,'4.เขตปรับKและเกลี่ยเงินเพิ่มฯ'!$E$10:$AJ$104,22,FALSE)</f>
        <v>49947059.170000002</v>
      </c>
      <c r="O26" s="9">
        <f>VLOOKUP($D26,'4.เขตปรับKและเกลี่ยเงินเพิ่มฯ'!$E$10:$AJ$104,30,FALSE)</f>
        <v>0</v>
      </c>
      <c r="P26" s="9">
        <f>VLOOKUP($D26,'4.เขตปรับKและเกลี่ยเงินเพิ่มฯ'!$E$10:$AJ$104,32,FALSE)</f>
        <v>49947059.170000002</v>
      </c>
      <c r="Q26" s="9">
        <f>VLOOKUP($D26,'4.เขตปรับKและเกลี่ยเงินเพิ่มฯ'!$E$10:$AJ$104,26,FALSE)</f>
        <v>0</v>
      </c>
      <c r="R26" s="9">
        <f>VLOOKUP($D26,'4.เขตปรับKและเกลี่ยเงินเพิ่มฯ'!$E$10:$AJ$104,23,FALSE)</f>
        <v>39966858.119999997</v>
      </c>
    </row>
    <row r="27" spans="1:18" s="64" customFormat="1" ht="15" customHeight="1" outlineLevel="2">
      <c r="A27" s="67">
        <v>518</v>
      </c>
      <c r="B27" s="68" t="s">
        <v>26</v>
      </c>
      <c r="C27" s="68" t="s">
        <v>60</v>
      </c>
      <c r="D27" s="68" t="s">
        <v>73</v>
      </c>
      <c r="E27" s="68" t="s">
        <v>74</v>
      </c>
      <c r="F27" s="9">
        <f>VLOOKUP($D27,'4.เขตปรับKและเกลี่ยเงินเพิ่มฯ'!$E$10:$AJ$104,5,FALSE)</f>
        <v>1.1000000000000001</v>
      </c>
      <c r="G27" s="9">
        <f>VLOOKUP($D27,'4.เขตปรับKและเกลี่ยเงินเพิ่มฯ'!$E$10:$AJ$104,13,FALSE)</f>
        <v>97342775.859999999</v>
      </c>
      <c r="H27" s="9">
        <f>VLOOKUP($D27,'4.เขตปรับKและเกลี่ยเงินเพิ่มฯ'!$E$10:$AJ$104,14,FALSE)</f>
        <v>19223217.010000002</v>
      </c>
      <c r="I27" s="9">
        <f>VLOOKUP($D27,'4.เขตปรับKและเกลี่ยเงินเพิ่มฯ'!$E$10:$AJ$104,15,FALSE)+VLOOKUP($D27,'4.เขตปรับKและเกลี่ยเงินเพิ่มฯ'!$E$10:$AJ$104,16,FALSE)+VLOOKUP($D27,'4.เขตปรับKและเกลี่ยเงินเพิ่มฯ'!$E$10:$AJ$104,17,FALSE)</f>
        <v>49269767.720000006</v>
      </c>
      <c r="J27" s="9">
        <f>VLOOKUP($D27,'4.เขตปรับKและเกลี่ยเงินเพิ่มฯ'!$E$10:$AJ$104,18,FALSE)</f>
        <v>165835760.59</v>
      </c>
      <c r="K27" s="9">
        <f>VLOOKUP($D27,'4.เขตปรับKและเกลี่ยเงินเพิ่มฯ'!$E$10:$AJ$104,19,FALSE)</f>
        <v>69390201</v>
      </c>
      <c r="L27" s="9">
        <f>VLOOKUP($D27,'4.เขตปรับKและเกลี่ยเงินเพิ่มฯ'!$E$10:$AJ$104,20,FALSE)</f>
        <v>96445559.590000004</v>
      </c>
      <c r="M27" s="9">
        <f>VLOOKUP($D27,'4.เขตปรับKและเกลี่ยเงินเพิ่มฯ'!$E$10:$AJ$104,21,FALSE)</f>
        <v>0</v>
      </c>
      <c r="N27" s="9">
        <f>VLOOKUP($D27,'4.เขตปรับKและเกลี่ยเงินเพิ่มฯ'!$E$10:$AJ$104,22,FALSE)</f>
        <v>96445559.590000004</v>
      </c>
      <c r="O27" s="9">
        <f>VLOOKUP($D27,'4.เขตปรับKและเกลี่ยเงินเพิ่มฯ'!$E$10:$AJ$104,30,FALSE)</f>
        <v>0</v>
      </c>
      <c r="P27" s="9">
        <f>VLOOKUP($D27,'4.เขตปรับKและเกลี่ยเงินเพิ่มฯ'!$E$10:$AJ$104,32,FALSE)</f>
        <v>96445559.590000004</v>
      </c>
      <c r="Q27" s="9">
        <f>VLOOKUP($D27,'4.เขตปรับKและเกลี่ยเงินเพิ่มฯ'!$E$10:$AJ$104,26,FALSE)</f>
        <v>0</v>
      </c>
      <c r="R27" s="9">
        <f>VLOOKUP($D27,'4.เขตปรับKและเกลี่ยเงินเพิ่มฯ'!$E$10:$AJ$104,23,FALSE)</f>
        <v>86754270.340000004</v>
      </c>
    </row>
    <row r="28" spans="1:18" s="64" customFormat="1" ht="15" customHeight="1" outlineLevel="2">
      <c r="A28" s="67">
        <v>519</v>
      </c>
      <c r="B28" s="68" t="s">
        <v>26</v>
      </c>
      <c r="C28" s="68" t="s">
        <v>60</v>
      </c>
      <c r="D28" s="68" t="s">
        <v>75</v>
      </c>
      <c r="E28" s="68" t="s">
        <v>76</v>
      </c>
      <c r="F28" s="9">
        <f>VLOOKUP($D28,'4.เขตปรับKและเกลี่ยเงินเพิ่มฯ'!$E$10:$AJ$104,5,FALSE)</f>
        <v>1.3</v>
      </c>
      <c r="G28" s="9">
        <f>VLOOKUP($D28,'4.เขตปรับKและเกลี่ยเงินเพิ่มฯ'!$E$10:$AJ$104,13,FALSE)</f>
        <v>36821684.549999997</v>
      </c>
      <c r="H28" s="9">
        <f>VLOOKUP($D28,'4.เขตปรับKและเกลี่ยเงินเพิ่มฯ'!$E$10:$AJ$104,14,FALSE)</f>
        <v>7271533.2599999998</v>
      </c>
      <c r="I28" s="9">
        <f>VLOOKUP($D28,'4.เขตปรับKและเกลี่ยเงินเพิ่มฯ'!$E$10:$AJ$104,15,FALSE)+VLOOKUP($D28,'4.เขตปรับKและเกลี่ยเงินเพิ่มฯ'!$E$10:$AJ$104,16,FALSE)+VLOOKUP($D28,'4.เขตปรับKและเกลี่ยเงินเพิ่มฯ'!$E$10:$AJ$104,17,FALSE)</f>
        <v>10856810.119999999</v>
      </c>
      <c r="J28" s="9">
        <f>VLOOKUP($D28,'4.เขตปรับKและเกลี่ยเงินเพิ่มฯ'!$E$10:$AJ$104,18,FALSE)</f>
        <v>54950027.929999992</v>
      </c>
      <c r="K28" s="9">
        <f>VLOOKUP($D28,'4.เขตปรับKและเกลี่ยเงินเพิ่มฯ'!$E$10:$AJ$104,19,FALSE)</f>
        <v>22580514</v>
      </c>
      <c r="L28" s="9">
        <f>VLOOKUP($D28,'4.เขตปรับKและเกลี่ยเงินเพิ่มฯ'!$E$10:$AJ$104,20,FALSE)</f>
        <v>32369513.93</v>
      </c>
      <c r="M28" s="9">
        <f>VLOOKUP($D28,'4.เขตปรับKและเกลี่ยเงินเพิ่มฯ'!$E$10:$AJ$104,21,FALSE)</f>
        <v>0</v>
      </c>
      <c r="N28" s="9">
        <f>VLOOKUP($D28,'4.เขตปรับKและเกลี่ยเงินเพิ่มฯ'!$E$10:$AJ$104,22,FALSE)</f>
        <v>32369513.93</v>
      </c>
      <c r="O28" s="9">
        <f>VLOOKUP($D28,'4.เขตปรับKและเกลี่ยเงินเพิ่มฯ'!$E$10:$AJ$104,30,FALSE)</f>
        <v>0</v>
      </c>
      <c r="P28" s="9">
        <f>VLOOKUP($D28,'4.เขตปรับKและเกลี่ยเงินเพิ่มฯ'!$E$10:$AJ$104,32,FALSE)</f>
        <v>32369513.93</v>
      </c>
      <c r="Q28" s="9">
        <f>VLOOKUP($D28,'4.เขตปรับKและเกลี่ยเงินเพิ่มฯ'!$E$10:$AJ$104,26,FALSE)</f>
        <v>0</v>
      </c>
      <c r="R28" s="9">
        <f>VLOOKUP($D28,'4.เขตปรับKและเกลี่ยเงินเพิ่มฯ'!$E$10:$AJ$104,23,FALSE)</f>
        <v>27500653.43</v>
      </c>
    </row>
    <row r="29" spans="1:18" s="64" customFormat="1" ht="15" customHeight="1" outlineLevel="2">
      <c r="A29" s="67">
        <v>520</v>
      </c>
      <c r="B29" s="68" t="s">
        <v>26</v>
      </c>
      <c r="C29" s="68" t="s">
        <v>60</v>
      </c>
      <c r="D29" s="68" t="s">
        <v>77</v>
      </c>
      <c r="E29" s="68" t="s">
        <v>78</v>
      </c>
      <c r="F29" s="9">
        <f>VLOOKUP($D29,'4.เขตปรับKและเกลี่ยเงินเพิ่มฯ'!$E$10:$AJ$104,5,FALSE)</f>
        <v>1.3</v>
      </c>
      <c r="G29" s="9">
        <f>VLOOKUP($D29,'4.เขตปรับKและเกลี่ยเงินเพิ่มฯ'!$E$10:$AJ$104,13,FALSE)</f>
        <v>42390185.869999997</v>
      </c>
      <c r="H29" s="9">
        <f>VLOOKUP($D29,'4.เขตปรับKและเกลี่ยเงินเพิ่มฯ'!$E$10:$AJ$104,14,FALSE)</f>
        <v>8371198.9400000004</v>
      </c>
      <c r="I29" s="9">
        <f>VLOOKUP($D29,'4.เขตปรับKและเกลี่ยเงินเพิ่มฯ'!$E$10:$AJ$104,15,FALSE)+VLOOKUP($D29,'4.เขตปรับKและเกลี่ยเงินเพิ่มฯ'!$E$10:$AJ$104,16,FALSE)+VLOOKUP($D29,'4.เขตปรับKและเกลี่ยเงินเพิ่มฯ'!$E$10:$AJ$104,17,FALSE)</f>
        <v>10432564.209999999</v>
      </c>
      <c r="J29" s="9">
        <f>VLOOKUP($D29,'4.เขตปรับKและเกลี่ยเงินเพิ่มฯ'!$E$10:$AJ$104,18,FALSE)</f>
        <v>61193949.019999988</v>
      </c>
      <c r="K29" s="9">
        <f>VLOOKUP($D29,'4.เขตปรับKและเกลี่ยเงินเพิ่มฯ'!$E$10:$AJ$104,19,FALSE)</f>
        <v>19840224</v>
      </c>
      <c r="L29" s="9">
        <f>VLOOKUP($D29,'4.เขตปรับKและเกลี่ยเงินเพิ่มฯ'!$E$10:$AJ$104,20,FALSE)</f>
        <v>41353725.020000003</v>
      </c>
      <c r="M29" s="9">
        <f>VLOOKUP($D29,'4.เขตปรับKและเกลี่ยเงินเพิ่มฯ'!$E$10:$AJ$104,21,FALSE)</f>
        <v>0</v>
      </c>
      <c r="N29" s="9">
        <f>VLOOKUP($D29,'4.เขตปรับKและเกลี่ยเงินเพิ่มฯ'!$E$10:$AJ$104,22,FALSE)</f>
        <v>41353725.020000003</v>
      </c>
      <c r="O29" s="9">
        <f>VLOOKUP($D29,'4.เขตปรับKและเกลี่ยเงินเพิ่มฯ'!$E$10:$AJ$104,30,FALSE)</f>
        <v>0</v>
      </c>
      <c r="P29" s="9">
        <f>VLOOKUP($D29,'4.เขตปรับKและเกลี่ยเงินเพิ่มฯ'!$E$10:$AJ$104,32,FALSE)</f>
        <v>41353725.020000003</v>
      </c>
      <c r="Q29" s="9">
        <f>VLOOKUP($D29,'4.เขตปรับKและเกลี่ยเงินเพิ่มฯ'!$E$10:$AJ$104,26,FALSE)</f>
        <v>0</v>
      </c>
      <c r="R29" s="9">
        <f>VLOOKUP($D29,'4.เขตปรับKและเกลี่ยเงินเพิ่มฯ'!$E$10:$AJ$104,23,FALSE)</f>
        <v>34865709.25</v>
      </c>
    </row>
    <row r="30" spans="1:18" s="64" customFormat="1" ht="15" customHeight="1" outlineLevel="2">
      <c r="A30" s="67">
        <v>521</v>
      </c>
      <c r="B30" s="68" t="s">
        <v>26</v>
      </c>
      <c r="C30" s="68" t="s">
        <v>60</v>
      </c>
      <c r="D30" s="68" t="s">
        <v>79</v>
      </c>
      <c r="E30" s="68" t="s">
        <v>80</v>
      </c>
      <c r="F30" s="9">
        <f>VLOOKUP($D30,'4.เขตปรับKและเกลี่ยเงินเพิ่มฯ'!$E$10:$AJ$104,5,FALSE)</f>
        <v>1.25</v>
      </c>
      <c r="G30" s="9">
        <f>VLOOKUP($D30,'4.เขตปรับKและเกลี่ยเงินเพิ่มฯ'!$E$10:$AJ$104,13,FALSE)</f>
        <v>49425618.719999999</v>
      </c>
      <c r="H30" s="9">
        <f>VLOOKUP($D30,'4.เขตปรับKและเกลี่ยเงินเพิ่มฯ'!$E$10:$AJ$104,14,FALSE)</f>
        <v>9760553.7300000004</v>
      </c>
      <c r="I30" s="9">
        <f>VLOOKUP($D30,'4.เขตปรับKและเกลี่ยเงินเพิ่มฯ'!$E$10:$AJ$104,15,FALSE)+VLOOKUP($D30,'4.เขตปรับKและเกลี่ยเงินเพิ่มฯ'!$E$10:$AJ$104,16,FALSE)+VLOOKUP($D30,'4.เขตปรับKและเกลี่ยเงินเพิ่มฯ'!$E$10:$AJ$104,17,FALSE)</f>
        <v>15133185.529999999</v>
      </c>
      <c r="J30" s="9">
        <f>VLOOKUP($D30,'4.เขตปรับKและเกลี่ยเงินเพิ่มฯ'!$E$10:$AJ$104,18,FALSE)</f>
        <v>74319357.980000004</v>
      </c>
      <c r="K30" s="9">
        <f>VLOOKUP($D30,'4.เขตปรับKและเกลี่ยเงินเพิ่มฯ'!$E$10:$AJ$104,19,FALSE)</f>
        <v>29005878</v>
      </c>
      <c r="L30" s="9">
        <f>VLOOKUP($D30,'4.เขตปรับKและเกลี่ยเงินเพิ่มฯ'!$E$10:$AJ$104,20,FALSE)</f>
        <v>45313479.979999997</v>
      </c>
      <c r="M30" s="9">
        <f>VLOOKUP($D30,'4.เขตปรับKและเกลี่ยเงินเพิ่มฯ'!$E$10:$AJ$104,21,FALSE)</f>
        <v>0</v>
      </c>
      <c r="N30" s="9">
        <f>VLOOKUP($D30,'4.เขตปรับKและเกลี่ยเงินเพิ่มฯ'!$E$10:$AJ$104,22,FALSE)</f>
        <v>45313479.979999997</v>
      </c>
      <c r="O30" s="9">
        <f>VLOOKUP($D30,'4.เขตปรับKและเกลี่ยเงินเพิ่มฯ'!$E$10:$AJ$104,30,FALSE)</f>
        <v>0</v>
      </c>
      <c r="P30" s="9">
        <f>VLOOKUP($D30,'4.เขตปรับKและเกลี่ยเงินเพิ่มฯ'!$E$10:$AJ$104,32,FALSE)</f>
        <v>45313479.979999997</v>
      </c>
      <c r="Q30" s="9">
        <f>VLOOKUP($D30,'4.เขตปรับKและเกลี่ยเงินเพิ่มฯ'!$E$10:$AJ$104,26,FALSE)</f>
        <v>0</v>
      </c>
      <c r="R30" s="9">
        <f>VLOOKUP($D30,'4.เขตปรับKและเกลี่ยเงินเพิ่มฯ'!$E$10:$AJ$104,23,FALSE)</f>
        <v>39762029.600000001</v>
      </c>
    </row>
    <row r="31" spans="1:18" s="64" customFormat="1" ht="15" customHeight="1" outlineLevel="2">
      <c r="A31" s="67">
        <v>522</v>
      </c>
      <c r="B31" s="68" t="s">
        <v>26</v>
      </c>
      <c r="C31" s="68" t="s">
        <v>60</v>
      </c>
      <c r="D31" s="68" t="s">
        <v>81</v>
      </c>
      <c r="E31" s="68" t="s">
        <v>82</v>
      </c>
      <c r="F31" s="9">
        <f>VLOOKUP($D31,'4.เขตปรับKและเกลี่ยเงินเพิ่มฯ'!$E$10:$AJ$104,5,FALSE)</f>
        <v>1.2</v>
      </c>
      <c r="G31" s="9">
        <f>VLOOKUP($D31,'4.เขตปรับKและเกลี่ยเงินเพิ่มฯ'!$E$10:$AJ$104,13,FALSE)</f>
        <v>56435334.229999997</v>
      </c>
      <c r="H31" s="9">
        <f>VLOOKUP($D31,'4.เขตปรับKและเกลี่ยเงินเพิ่มฯ'!$E$10:$AJ$104,14,FALSE)</f>
        <v>11144829.880000001</v>
      </c>
      <c r="I31" s="9">
        <f>VLOOKUP($D31,'4.เขตปรับKและเกลี่ยเงินเพิ่มฯ'!$E$10:$AJ$104,15,FALSE)+VLOOKUP($D31,'4.เขตปรับKและเกลี่ยเงินเพิ่มฯ'!$E$10:$AJ$104,16,FALSE)+VLOOKUP($D31,'4.เขตปรับKและเกลี่ยเงินเพิ่มฯ'!$E$10:$AJ$104,17,FALSE)</f>
        <v>21252388.59</v>
      </c>
      <c r="J31" s="9">
        <f>VLOOKUP($D31,'4.เขตปรับKและเกลี่ยเงินเพิ่มฯ'!$E$10:$AJ$104,18,FALSE)</f>
        <v>88832552.700000003</v>
      </c>
      <c r="K31" s="9">
        <f>VLOOKUP($D31,'4.เขตปรับKและเกลี่ยเงินเพิ่มฯ'!$E$10:$AJ$104,19,FALSE)</f>
        <v>32989170</v>
      </c>
      <c r="L31" s="9">
        <f>VLOOKUP($D31,'4.เขตปรับKและเกลี่ยเงินเพิ่มฯ'!$E$10:$AJ$104,20,FALSE)</f>
        <v>55843382.700000003</v>
      </c>
      <c r="M31" s="9">
        <f>VLOOKUP($D31,'4.เขตปรับKและเกลี่ยเงินเพิ่มฯ'!$E$10:$AJ$104,21,FALSE)</f>
        <v>0</v>
      </c>
      <c r="N31" s="9">
        <f>VLOOKUP($D31,'4.เขตปรับKและเกลี่ยเงินเพิ่มฯ'!$E$10:$AJ$104,22,FALSE)</f>
        <v>55843382.700000003</v>
      </c>
      <c r="O31" s="9">
        <f>VLOOKUP($D31,'4.เขตปรับKและเกลี่ยเงินเพิ่มฯ'!$E$10:$AJ$104,30,FALSE)</f>
        <v>0</v>
      </c>
      <c r="P31" s="9">
        <f>VLOOKUP($D31,'4.เขตปรับKและเกลี่ยเงินเพิ่มฯ'!$E$10:$AJ$104,32,FALSE)</f>
        <v>55843382.700000003</v>
      </c>
      <c r="Q31" s="9">
        <f>VLOOKUP($D31,'4.เขตปรับKและเกลี่ยเงินเพิ่มฯ'!$E$10:$AJ$104,26,FALSE)</f>
        <v>0</v>
      </c>
      <c r="R31" s="9">
        <f>VLOOKUP($D31,'4.เขตปรับKและเกลี่ยเงินเพิ่มฯ'!$E$10:$AJ$104,23,FALSE)</f>
        <v>49821461.280000001</v>
      </c>
    </row>
    <row r="32" spans="1:18" s="64" customFormat="1" ht="15" customHeight="1" outlineLevel="2">
      <c r="A32" s="67">
        <v>523</v>
      </c>
      <c r="B32" s="68" t="s">
        <v>26</v>
      </c>
      <c r="C32" s="68" t="s">
        <v>60</v>
      </c>
      <c r="D32" s="68" t="s">
        <v>83</v>
      </c>
      <c r="E32" s="68" t="s">
        <v>84</v>
      </c>
      <c r="F32" s="9">
        <f>VLOOKUP($D32,'4.เขตปรับKและเกลี่ยเงินเพิ่มฯ'!$E$10:$AJ$104,5,FALSE)</f>
        <v>1.1000000000000001</v>
      </c>
      <c r="G32" s="9">
        <f>VLOOKUP($D32,'4.เขตปรับKและเกลี่ยเงินเพิ่มฯ'!$E$10:$AJ$104,13,FALSE)</f>
        <v>93593038.540000007</v>
      </c>
      <c r="H32" s="9">
        <f>VLOOKUP($D32,'4.เขตปรับKและเกลี่ยเงินเพิ่มฯ'!$E$10:$AJ$104,14,FALSE)</f>
        <v>18482720.199999999</v>
      </c>
      <c r="I32" s="9">
        <f>VLOOKUP($D32,'4.เขตปรับKและเกลี่ยเงินเพิ่มฯ'!$E$10:$AJ$104,15,FALSE)+VLOOKUP($D32,'4.เขตปรับKและเกลี่ยเงินเพิ่มฯ'!$E$10:$AJ$104,16,FALSE)+VLOOKUP($D32,'4.เขตปรับKและเกลี่ยเงินเพิ่มฯ'!$E$10:$AJ$104,17,FALSE)</f>
        <v>49446433.490000002</v>
      </c>
      <c r="J32" s="9">
        <f>VLOOKUP($D32,'4.เขตปรับKและเกลี่ยเงินเพิ่มฯ'!$E$10:$AJ$104,18,FALSE)</f>
        <v>161522192.23000002</v>
      </c>
      <c r="K32" s="9">
        <f>VLOOKUP($D32,'4.เขตปรับKและเกลี่ยเงินเพิ่มฯ'!$E$10:$AJ$104,19,FALSE)</f>
        <v>59205656</v>
      </c>
      <c r="L32" s="9">
        <f>VLOOKUP($D32,'4.เขตปรับKและเกลี่ยเงินเพิ่มฯ'!$E$10:$AJ$104,20,FALSE)</f>
        <v>102316536.23</v>
      </c>
      <c r="M32" s="9">
        <f>VLOOKUP($D32,'4.เขตปรับKและเกลี่ยเงินเพิ่มฯ'!$E$10:$AJ$104,21,FALSE)</f>
        <v>0</v>
      </c>
      <c r="N32" s="9">
        <f>VLOOKUP($D32,'4.เขตปรับKและเกลี่ยเงินเพิ่มฯ'!$E$10:$AJ$104,22,FALSE)</f>
        <v>102316536.23</v>
      </c>
      <c r="O32" s="9">
        <f>VLOOKUP($D32,'4.เขตปรับKและเกลี่ยเงินเพิ่มฯ'!$E$10:$AJ$104,30,FALSE)</f>
        <v>0</v>
      </c>
      <c r="P32" s="9">
        <f>VLOOKUP($D32,'4.เขตปรับKและเกลี่ยเงินเพิ่มฯ'!$E$10:$AJ$104,32,FALSE)</f>
        <v>102316536.23</v>
      </c>
      <c r="Q32" s="9">
        <f>VLOOKUP($D32,'4.เขตปรับKและเกลี่ยเงินเพิ่มฯ'!$E$10:$AJ$104,26,FALSE)</f>
        <v>0</v>
      </c>
      <c r="R32" s="9">
        <f>VLOOKUP($D32,'4.เขตปรับKและเกลี่ยเงินเพิ่มฯ'!$E$10:$AJ$104,23,FALSE)</f>
        <v>88220657.040000007</v>
      </c>
    </row>
    <row r="33" spans="1:18" s="64" customFormat="1" ht="15" customHeight="1" outlineLevel="2">
      <c r="A33" s="67">
        <v>524</v>
      </c>
      <c r="B33" s="68" t="s">
        <v>26</v>
      </c>
      <c r="C33" s="68" t="s">
        <v>60</v>
      </c>
      <c r="D33" s="68" t="s">
        <v>85</v>
      </c>
      <c r="E33" s="68" t="s">
        <v>86</v>
      </c>
      <c r="F33" s="9">
        <f>VLOOKUP($D33,'4.เขตปรับKและเกลี่ยเงินเพิ่มฯ'!$E$10:$AJ$104,5,FALSE)</f>
        <v>1.1499999999999999</v>
      </c>
      <c r="G33" s="9">
        <f>VLOOKUP($D33,'4.เขตปรับKและเกลี่ยเงินเพิ่มฯ'!$E$10:$AJ$104,13,FALSE)</f>
        <v>59528975.030000001</v>
      </c>
      <c r="H33" s="9">
        <f>VLOOKUP($D33,'4.เขตปรับKและเกลี่ยเงินเพิ่มฯ'!$E$10:$AJ$104,14,FALSE)</f>
        <v>11755760.98</v>
      </c>
      <c r="I33" s="9">
        <f>VLOOKUP($D33,'4.เขตปรับKและเกลี่ยเงินเพิ่มฯ'!$E$10:$AJ$104,15,FALSE)+VLOOKUP($D33,'4.เขตปรับKและเกลี่ยเงินเพิ่มฯ'!$E$10:$AJ$104,16,FALSE)+VLOOKUP($D33,'4.เขตปรับKและเกลี่ยเงินเพิ่มฯ'!$E$10:$AJ$104,17,FALSE)</f>
        <v>24143854.150000002</v>
      </c>
      <c r="J33" s="9">
        <f>VLOOKUP($D33,'4.เขตปรับKและเกลี่ยเงินเพิ่มฯ'!$E$10:$AJ$104,18,FALSE)</f>
        <v>95428590.160000011</v>
      </c>
      <c r="K33" s="9">
        <f>VLOOKUP($D33,'4.เขตปรับKและเกลี่ยเงินเพิ่มฯ'!$E$10:$AJ$104,19,FALSE)</f>
        <v>32482612</v>
      </c>
      <c r="L33" s="9">
        <f>VLOOKUP($D33,'4.เขตปรับKและเกลี่ยเงินเพิ่มฯ'!$E$10:$AJ$104,20,FALSE)</f>
        <v>62945978.159999996</v>
      </c>
      <c r="M33" s="9">
        <f>VLOOKUP($D33,'4.เขตปรับKและเกลี่ยเงินเพิ่มฯ'!$E$10:$AJ$104,21,FALSE)</f>
        <v>0</v>
      </c>
      <c r="N33" s="9">
        <f>VLOOKUP($D33,'4.เขตปรับKและเกลี่ยเงินเพิ่มฯ'!$E$10:$AJ$104,22,FALSE)</f>
        <v>62945978.159999996</v>
      </c>
      <c r="O33" s="9">
        <f>VLOOKUP($D33,'4.เขตปรับKและเกลี่ยเงินเพิ่มฯ'!$E$10:$AJ$104,30,FALSE)</f>
        <v>0</v>
      </c>
      <c r="P33" s="9">
        <f>VLOOKUP($D33,'4.เขตปรับKและเกลี่ยเงินเพิ่มฯ'!$E$10:$AJ$104,32,FALSE)</f>
        <v>62945978.159999996</v>
      </c>
      <c r="Q33" s="9">
        <f>VLOOKUP($D33,'4.เขตปรับKและเกลี่ยเงินเพิ่มฯ'!$E$10:$AJ$104,26,FALSE)</f>
        <v>0</v>
      </c>
      <c r="R33" s="9">
        <f>VLOOKUP($D33,'4.เขตปรับKและเกลี่ยเงินเพิ่มฯ'!$E$10:$AJ$104,23,FALSE)</f>
        <v>58018106.210000001</v>
      </c>
    </row>
    <row r="34" spans="1:18" s="64" customFormat="1" ht="15" customHeight="1" outlineLevel="2">
      <c r="A34" s="67">
        <v>525</v>
      </c>
      <c r="B34" s="68" t="s">
        <v>26</v>
      </c>
      <c r="C34" s="68" t="s">
        <v>60</v>
      </c>
      <c r="D34" s="68" t="s">
        <v>87</v>
      </c>
      <c r="E34" s="68" t="s">
        <v>88</v>
      </c>
      <c r="F34" s="9">
        <f>VLOOKUP($D34,'4.เขตปรับKและเกลี่ยเงินเพิ่มฯ'!$E$10:$AJ$104,5,FALSE)</f>
        <v>1.1000000000000001</v>
      </c>
      <c r="G34" s="9">
        <f>VLOOKUP($D34,'4.เขตปรับKและเกลี่ยเงินเพิ่มฯ'!$E$10:$AJ$104,13,FALSE)</f>
        <v>94886421.409999996</v>
      </c>
      <c r="H34" s="9">
        <f>VLOOKUP($D34,'4.เขตปรับKและเกลี่ยเงินเพิ่มฯ'!$E$10:$AJ$104,14,FALSE)</f>
        <v>18738137</v>
      </c>
      <c r="I34" s="9">
        <f>VLOOKUP($D34,'4.เขตปรับKและเกลี่ยเงินเพิ่มฯ'!$E$10:$AJ$104,15,FALSE)+VLOOKUP($D34,'4.เขตปรับKและเกลี่ยเงินเพิ่มฯ'!$E$10:$AJ$104,16,FALSE)+VLOOKUP($D34,'4.เขตปรับKและเกลี่ยเงินเพิ่มฯ'!$E$10:$AJ$104,17,FALSE)</f>
        <v>40254682.32</v>
      </c>
      <c r="J34" s="9">
        <f>VLOOKUP($D34,'4.เขตปรับKและเกลี่ยเงินเพิ่มฯ'!$E$10:$AJ$104,18,FALSE)</f>
        <v>153879240.72999999</v>
      </c>
      <c r="K34" s="9">
        <f>VLOOKUP($D34,'4.เขตปรับKและเกลี่ยเงินเพิ่มฯ'!$E$10:$AJ$104,19,FALSE)</f>
        <v>50374021</v>
      </c>
      <c r="L34" s="9">
        <f>VLOOKUP($D34,'4.เขตปรับKและเกลี่ยเงินเพิ่มฯ'!$E$10:$AJ$104,20,FALSE)</f>
        <v>103505219.73</v>
      </c>
      <c r="M34" s="9">
        <f>VLOOKUP($D34,'4.เขตปรับKและเกลี่ยเงินเพิ่มฯ'!$E$10:$AJ$104,21,FALSE)</f>
        <v>0</v>
      </c>
      <c r="N34" s="9">
        <f>VLOOKUP($D34,'4.เขตปรับKและเกลี่ยเงินเพิ่มฯ'!$E$10:$AJ$104,22,FALSE)</f>
        <v>103505219.73</v>
      </c>
      <c r="O34" s="9">
        <f>VLOOKUP($D34,'4.เขตปรับKและเกลี่ยเงินเพิ่มฯ'!$E$10:$AJ$104,30,FALSE)</f>
        <v>0</v>
      </c>
      <c r="P34" s="9">
        <f>VLOOKUP($D34,'4.เขตปรับKและเกลี่ยเงินเพิ่มฯ'!$E$10:$AJ$104,32,FALSE)</f>
        <v>103505219.73</v>
      </c>
      <c r="Q34" s="9">
        <f>VLOOKUP($D34,'4.เขตปรับKและเกลี่ยเงินเพิ่มฯ'!$E$10:$AJ$104,26,FALSE)</f>
        <v>0</v>
      </c>
      <c r="R34" s="9">
        <f>VLOOKUP($D34,'4.เขตปรับKและเกลี่ยเงินเพิ่มฯ'!$E$10:$AJ$104,23,FALSE)</f>
        <v>92587241.439999998</v>
      </c>
    </row>
    <row r="35" spans="1:18" s="64" customFormat="1" ht="15" customHeight="1" outlineLevel="2">
      <c r="A35" s="67">
        <v>526</v>
      </c>
      <c r="B35" s="68" t="s">
        <v>26</v>
      </c>
      <c r="C35" s="68" t="s">
        <v>60</v>
      </c>
      <c r="D35" s="68" t="s">
        <v>89</v>
      </c>
      <c r="E35" s="68" t="s">
        <v>90</v>
      </c>
      <c r="F35" s="9">
        <f>VLOOKUP($D35,'4.เขตปรับKและเกลี่ยเงินเพิ่มฯ'!$E$10:$AJ$104,5,FALSE)</f>
        <v>1.3</v>
      </c>
      <c r="G35" s="9">
        <f>VLOOKUP($D35,'4.เขตปรับKและเกลี่ยเงินเพิ่มฯ'!$E$10:$AJ$104,13,FALSE)</f>
        <v>33308833.559999999</v>
      </c>
      <c r="H35" s="9">
        <f>VLOOKUP($D35,'4.เขตปรับKและเกลี่ยเงินเพิ่มฯ'!$E$10:$AJ$104,14,FALSE)</f>
        <v>6577816.6900000004</v>
      </c>
      <c r="I35" s="9">
        <f>VLOOKUP($D35,'4.เขตปรับKและเกลี่ยเงินเพิ่มฯ'!$E$10:$AJ$104,15,FALSE)+VLOOKUP($D35,'4.เขตปรับKและเกลี่ยเงินเพิ่มฯ'!$E$10:$AJ$104,16,FALSE)+VLOOKUP($D35,'4.เขตปรับKและเกลี่ยเงินเพิ่มฯ'!$E$10:$AJ$104,17,FALSE)</f>
        <v>11816961.189999999</v>
      </c>
      <c r="J35" s="9">
        <f>VLOOKUP($D35,'4.เขตปรับKและเกลี่ยเงินเพิ่มฯ'!$E$10:$AJ$104,18,FALSE)</f>
        <v>51703611.440000005</v>
      </c>
      <c r="K35" s="9">
        <f>VLOOKUP($D35,'4.เขตปรับKและเกลี่ยเงินเพิ่มฯ'!$E$10:$AJ$104,19,FALSE)</f>
        <v>17459872</v>
      </c>
      <c r="L35" s="9">
        <f>VLOOKUP($D35,'4.เขตปรับKและเกลี่ยเงินเพิ่มฯ'!$E$10:$AJ$104,20,FALSE)</f>
        <v>34243739.439999998</v>
      </c>
      <c r="M35" s="9">
        <f>VLOOKUP($D35,'4.เขตปรับKและเกลี่ยเงินเพิ่มฯ'!$E$10:$AJ$104,21,FALSE)</f>
        <v>0</v>
      </c>
      <c r="N35" s="9">
        <f>VLOOKUP($D35,'4.เขตปรับKและเกลี่ยเงินเพิ่มฯ'!$E$10:$AJ$104,22,FALSE)</f>
        <v>34243739.439999998</v>
      </c>
      <c r="O35" s="9">
        <f>VLOOKUP($D35,'4.เขตปรับKและเกลี่ยเงินเพิ่มฯ'!$E$10:$AJ$104,30,FALSE)</f>
        <v>0</v>
      </c>
      <c r="P35" s="9">
        <f>VLOOKUP($D35,'4.เขตปรับKและเกลี่ยเงินเพิ่มฯ'!$E$10:$AJ$104,32,FALSE)</f>
        <v>34243739.439999998</v>
      </c>
      <c r="Q35" s="9">
        <f>VLOOKUP($D35,'4.เขตปรับKและเกลี่ยเงินเพิ่มฯ'!$E$10:$AJ$104,26,FALSE)</f>
        <v>0</v>
      </c>
      <c r="R35" s="9">
        <f>VLOOKUP($D35,'4.เขตปรับKและเกลี่ยเงินเพิ่มฯ'!$E$10:$AJ$104,23,FALSE)</f>
        <v>27397422.260000002</v>
      </c>
    </row>
    <row r="36" spans="1:18" s="64" customFormat="1" ht="15" customHeight="1" outlineLevel="2">
      <c r="A36" s="67">
        <v>527</v>
      </c>
      <c r="B36" s="68" t="s">
        <v>26</v>
      </c>
      <c r="C36" s="68" t="s">
        <v>60</v>
      </c>
      <c r="D36" s="68" t="s">
        <v>91</v>
      </c>
      <c r="E36" s="68" t="s">
        <v>92</v>
      </c>
      <c r="F36" s="9">
        <f>VLOOKUP($D36,'4.เขตปรับKและเกลี่ยเงินเพิ่มฯ'!$E$10:$AJ$104,5,FALSE)</f>
        <v>1.3</v>
      </c>
      <c r="G36" s="9">
        <f>VLOOKUP($D36,'4.เขตปรับKและเกลี่ยเงินเพิ่มฯ'!$E$10:$AJ$104,13,FALSE)</f>
        <v>31743376.77</v>
      </c>
      <c r="H36" s="9">
        <f>VLOOKUP($D36,'4.เขตปรับKและเกลี่ยเงินเพิ่มฯ'!$E$10:$AJ$104,14,FALSE)</f>
        <v>6268670.8399999999</v>
      </c>
      <c r="I36" s="9">
        <f>VLOOKUP($D36,'4.เขตปรับKและเกลี่ยเงินเพิ่มฯ'!$E$10:$AJ$104,15,FALSE)+VLOOKUP($D36,'4.เขตปรับKและเกลี่ยเงินเพิ่มฯ'!$E$10:$AJ$104,16,FALSE)+VLOOKUP($D36,'4.เขตปรับKและเกลี่ยเงินเพิ่มฯ'!$E$10:$AJ$104,17,FALSE)</f>
        <v>9426760.25</v>
      </c>
      <c r="J36" s="9">
        <f>VLOOKUP($D36,'4.เขตปรับKและเกลี่ยเงินเพิ่มฯ'!$E$10:$AJ$104,18,FALSE)</f>
        <v>47438807.859999999</v>
      </c>
      <c r="K36" s="9">
        <f>VLOOKUP($D36,'4.เขตปรับKและเกลี่ยเงินเพิ่มฯ'!$E$10:$AJ$104,19,FALSE)</f>
        <v>22188463</v>
      </c>
      <c r="L36" s="9">
        <f>VLOOKUP($D36,'4.เขตปรับKและเกลี่ยเงินเพิ่มฯ'!$E$10:$AJ$104,20,FALSE)</f>
        <v>25250344.859999999</v>
      </c>
      <c r="M36" s="9">
        <f>VLOOKUP($D36,'4.เขตปรับKและเกลี่ยเงินเพิ่มฯ'!$E$10:$AJ$104,21,FALSE)</f>
        <v>0</v>
      </c>
      <c r="N36" s="9">
        <f>VLOOKUP($D36,'4.เขตปรับKและเกลี่ยเงินเพิ่มฯ'!$E$10:$AJ$104,22,FALSE)</f>
        <v>25250344.859999999</v>
      </c>
      <c r="O36" s="9">
        <f>VLOOKUP($D36,'4.เขตปรับKและเกลี่ยเงินเพิ่มฯ'!$E$10:$AJ$104,30,FALSE)</f>
        <v>0</v>
      </c>
      <c r="P36" s="9">
        <f>VLOOKUP($D36,'4.เขตปรับKและเกลี่ยเงินเพิ่มฯ'!$E$10:$AJ$104,32,FALSE)</f>
        <v>25250344.859999999</v>
      </c>
      <c r="Q36" s="9">
        <f>VLOOKUP($D36,'4.เขตปรับKและเกลี่ยเงินเพิ่มฯ'!$E$10:$AJ$104,26,FALSE)</f>
        <v>0</v>
      </c>
      <c r="R36" s="9">
        <f>VLOOKUP($D36,'4.เขตปรับKและเกลี่ยเงินเพิ่มฯ'!$E$10:$AJ$104,23,FALSE)</f>
        <v>22916882.82</v>
      </c>
    </row>
    <row r="37" spans="1:18" s="64" customFormat="1" ht="15" customHeight="1" outlineLevel="2">
      <c r="A37" s="67">
        <v>528</v>
      </c>
      <c r="B37" s="68" t="s">
        <v>26</v>
      </c>
      <c r="C37" s="68" t="s">
        <v>60</v>
      </c>
      <c r="D37" s="68" t="s">
        <v>93</v>
      </c>
      <c r="E37" s="68" t="s">
        <v>94</v>
      </c>
      <c r="F37" s="9">
        <f>VLOOKUP($D37,'4.เขตปรับKและเกลี่ยเงินเพิ่มฯ'!$E$10:$AJ$104,5,FALSE)</f>
        <v>1.3</v>
      </c>
      <c r="G37" s="9">
        <f>VLOOKUP($D37,'4.เขตปรับKและเกลี่ยเงินเพิ่มฯ'!$E$10:$AJ$104,13,FALSE)</f>
        <v>35087153.560000002</v>
      </c>
      <c r="H37" s="9">
        <f>VLOOKUP($D37,'4.เขตปรับKและเกลี่ยเงินเพิ่มฯ'!$E$10:$AJ$104,14,FALSE)</f>
        <v>6928998.7000000002</v>
      </c>
      <c r="I37" s="9">
        <f>VLOOKUP($D37,'4.เขตปรับKและเกลี่ยเงินเพิ่มฯ'!$E$10:$AJ$104,15,FALSE)+VLOOKUP($D37,'4.เขตปรับKและเกลี่ยเงินเพิ่มฯ'!$E$10:$AJ$104,16,FALSE)+VLOOKUP($D37,'4.เขตปรับKและเกลี่ยเงินเพิ่มฯ'!$E$10:$AJ$104,17,FALSE)</f>
        <v>12382389.190000001</v>
      </c>
      <c r="J37" s="9">
        <f>VLOOKUP($D37,'4.เขตปรับKและเกลี่ยเงินเพิ่มฯ'!$E$10:$AJ$104,18,FALSE)</f>
        <v>54398541.45000001</v>
      </c>
      <c r="K37" s="9">
        <f>VLOOKUP($D37,'4.เขตปรับKและเกลี่ยเงินเพิ่มฯ'!$E$10:$AJ$104,19,FALSE)</f>
        <v>17124067</v>
      </c>
      <c r="L37" s="9">
        <f>VLOOKUP($D37,'4.เขตปรับKและเกลี่ยเงินเพิ่มฯ'!$E$10:$AJ$104,20,FALSE)</f>
        <v>37274474.450000003</v>
      </c>
      <c r="M37" s="9">
        <f>VLOOKUP($D37,'4.เขตปรับKและเกลี่ยเงินเพิ่มฯ'!$E$10:$AJ$104,21,FALSE)</f>
        <v>0</v>
      </c>
      <c r="N37" s="9">
        <f>VLOOKUP($D37,'4.เขตปรับKและเกลี่ยเงินเพิ่มฯ'!$E$10:$AJ$104,22,FALSE)</f>
        <v>37274474.450000003</v>
      </c>
      <c r="O37" s="9">
        <f>VLOOKUP($D37,'4.เขตปรับKและเกลี่ยเงินเพิ่มฯ'!$E$10:$AJ$104,30,FALSE)</f>
        <v>0</v>
      </c>
      <c r="P37" s="9">
        <f>VLOOKUP($D37,'4.เขตปรับKและเกลี่ยเงินเพิ่มฯ'!$E$10:$AJ$104,32,FALSE)</f>
        <v>37274474.450000003</v>
      </c>
      <c r="Q37" s="9">
        <f>VLOOKUP($D37,'4.เขตปรับKและเกลี่ยเงินเพิ่มฯ'!$E$10:$AJ$104,26,FALSE)</f>
        <v>0</v>
      </c>
      <c r="R37" s="9">
        <f>VLOOKUP($D37,'4.เขตปรับKและเกลี่ยเงินเพิ่มฯ'!$E$10:$AJ$104,23,FALSE)</f>
        <v>30304289.620000001</v>
      </c>
    </row>
    <row r="38" spans="1:18" s="64" customFormat="1" ht="15" customHeight="1" outlineLevel="2">
      <c r="A38" s="67">
        <v>529</v>
      </c>
      <c r="B38" s="68" t="s">
        <v>26</v>
      </c>
      <c r="C38" s="68" t="s">
        <v>60</v>
      </c>
      <c r="D38" s="68" t="s">
        <v>95</v>
      </c>
      <c r="E38" s="68" t="s">
        <v>96</v>
      </c>
      <c r="F38" s="9">
        <f>VLOOKUP($D38,'4.เขตปรับKและเกลี่ยเงินเพิ่มฯ'!$E$10:$AJ$104,5,FALSE)</f>
        <v>1.35</v>
      </c>
      <c r="G38" s="9">
        <f>VLOOKUP($D38,'4.เขตปรับKและเกลี่ยเงินเพิ่มฯ'!$E$10:$AJ$104,13,FALSE)</f>
        <v>29661140.260000002</v>
      </c>
      <c r="H38" s="9">
        <f>VLOOKUP($D38,'4.เขตปรับKและเกลี่ยเงินเพิ่มฯ'!$E$10:$AJ$104,14,FALSE)</f>
        <v>5857471.5099999998</v>
      </c>
      <c r="I38" s="9">
        <f>VLOOKUP($D38,'4.เขตปรับKและเกลี่ยเงินเพิ่มฯ'!$E$10:$AJ$104,15,FALSE)+VLOOKUP($D38,'4.เขตปรับKและเกลี่ยเงินเพิ่มฯ'!$E$10:$AJ$104,16,FALSE)+VLOOKUP($D38,'4.เขตปรับKและเกลี่ยเงินเพิ่มฯ'!$E$10:$AJ$104,17,FALSE)</f>
        <v>14321347.199999999</v>
      </c>
      <c r="J38" s="9">
        <f>VLOOKUP($D38,'4.เขตปรับKและเกลี่ยเงินเพิ่มฯ'!$E$10:$AJ$104,18,FALSE)</f>
        <v>49839958.969999999</v>
      </c>
      <c r="K38" s="9">
        <f>VLOOKUP($D38,'4.เขตปรับKและเกลี่ยเงินเพิ่มฯ'!$E$10:$AJ$104,19,FALSE)</f>
        <v>19315577</v>
      </c>
      <c r="L38" s="9">
        <f>VLOOKUP($D38,'4.เขตปรับKและเกลี่ยเงินเพิ่มฯ'!$E$10:$AJ$104,20,FALSE)</f>
        <v>30524381.969999999</v>
      </c>
      <c r="M38" s="9">
        <f>VLOOKUP($D38,'4.เขตปรับKและเกลี่ยเงินเพิ่มฯ'!$E$10:$AJ$104,21,FALSE)</f>
        <v>0</v>
      </c>
      <c r="N38" s="9">
        <f>VLOOKUP($D38,'4.เขตปรับKและเกลี่ยเงินเพิ่มฯ'!$E$10:$AJ$104,22,FALSE)</f>
        <v>30524381.969999999</v>
      </c>
      <c r="O38" s="9">
        <f>VLOOKUP($D38,'4.เขตปรับKและเกลี่ยเงินเพิ่มฯ'!$E$10:$AJ$104,30,FALSE)</f>
        <v>0</v>
      </c>
      <c r="P38" s="9">
        <f>VLOOKUP($D38,'4.เขตปรับKและเกลี่ยเงินเพิ่มฯ'!$E$10:$AJ$104,32,FALSE)</f>
        <v>30524381.969999999</v>
      </c>
      <c r="Q38" s="9">
        <f>VLOOKUP($D38,'4.เขตปรับKและเกลี่ยเงินเพิ่มฯ'!$E$10:$AJ$104,26,FALSE)</f>
        <v>0</v>
      </c>
      <c r="R38" s="9">
        <f>VLOOKUP($D38,'4.เขตปรับKและเกลี่ยเงินเพิ่มฯ'!$E$10:$AJ$104,23,FALSE)</f>
        <v>25616749.850000001</v>
      </c>
    </row>
    <row r="39" spans="1:18" s="64" customFormat="1" ht="15" customHeight="1" outlineLevel="2">
      <c r="A39" s="67">
        <v>530</v>
      </c>
      <c r="B39" s="68" t="s">
        <v>26</v>
      </c>
      <c r="C39" s="68" t="s">
        <v>60</v>
      </c>
      <c r="D39" s="68" t="s">
        <v>97</v>
      </c>
      <c r="E39" s="68" t="s">
        <v>98</v>
      </c>
      <c r="F39" s="9">
        <f>VLOOKUP($D39,'4.เขตปรับKและเกลี่ยเงินเพิ่มฯ'!$E$10:$AJ$104,5,FALSE)</f>
        <v>1.1000000000000001</v>
      </c>
      <c r="G39" s="9">
        <f>VLOOKUP($D39,'4.เขตปรับKและเกลี่ยเงินเพิ่มฯ'!$E$10:$AJ$104,13,FALSE)</f>
        <v>102702236.81999999</v>
      </c>
      <c r="H39" s="9">
        <f>VLOOKUP($D39,'4.เขตปรับKและเกลี่ยเงินเพิ่มฯ'!$E$10:$AJ$104,14,FALSE)</f>
        <v>20281601.469999999</v>
      </c>
      <c r="I39" s="9">
        <f>VLOOKUP($D39,'4.เขตปรับKและเกลี่ยเงินเพิ่มฯ'!$E$10:$AJ$104,15,FALSE)+VLOOKUP($D39,'4.เขตปรับKและเกลี่ยเงินเพิ่มฯ'!$E$10:$AJ$104,16,FALSE)+VLOOKUP($D39,'4.เขตปรับKและเกลี่ยเงินเพิ่มฯ'!$E$10:$AJ$104,17,FALSE)</f>
        <v>54892652.240000002</v>
      </c>
      <c r="J39" s="9">
        <f>VLOOKUP($D39,'4.เขตปรับKและเกลี่ยเงินเพิ่มฯ'!$E$10:$AJ$104,18,FALSE)</f>
        <v>177876490.53</v>
      </c>
      <c r="K39" s="9">
        <f>VLOOKUP($D39,'4.เขตปรับKและเกลี่ยเงินเพิ่มฯ'!$E$10:$AJ$104,19,FALSE)</f>
        <v>59770968</v>
      </c>
      <c r="L39" s="9">
        <f>VLOOKUP($D39,'4.เขตปรับKและเกลี่ยเงินเพิ่มฯ'!$E$10:$AJ$104,20,FALSE)</f>
        <v>118105522.53</v>
      </c>
      <c r="M39" s="9">
        <f>VLOOKUP($D39,'4.เขตปรับKและเกลี่ยเงินเพิ่มฯ'!$E$10:$AJ$104,21,FALSE)</f>
        <v>0</v>
      </c>
      <c r="N39" s="9">
        <f>VLOOKUP($D39,'4.เขตปรับKและเกลี่ยเงินเพิ่มฯ'!$E$10:$AJ$104,22,FALSE)</f>
        <v>118105522.53</v>
      </c>
      <c r="O39" s="9">
        <f>VLOOKUP($D39,'4.เขตปรับKและเกลี่ยเงินเพิ่มฯ'!$E$10:$AJ$104,30,FALSE)</f>
        <v>0</v>
      </c>
      <c r="P39" s="9">
        <f>VLOOKUP($D39,'4.เขตปรับKและเกลี่ยเงินเพิ่มฯ'!$E$10:$AJ$104,32,FALSE)</f>
        <v>118105522.53</v>
      </c>
      <c r="Q39" s="9">
        <f>VLOOKUP($D39,'4.เขตปรับKและเกลี่ยเงินเพิ่มฯ'!$E$10:$AJ$104,26,FALSE)</f>
        <v>0</v>
      </c>
      <c r="R39" s="9">
        <f>VLOOKUP($D39,'4.เขตปรับKและเกลี่ยเงินเพิ่มฯ'!$E$10:$AJ$104,23,FALSE)</f>
        <v>115699650.34999999</v>
      </c>
    </row>
    <row r="40" spans="1:18" s="64" customFormat="1" ht="15" customHeight="1" outlineLevel="2">
      <c r="A40" s="67">
        <v>531</v>
      </c>
      <c r="B40" s="68" t="s">
        <v>26</v>
      </c>
      <c r="C40" s="68" t="s">
        <v>60</v>
      </c>
      <c r="D40" s="68" t="s">
        <v>99</v>
      </c>
      <c r="E40" s="68" t="s">
        <v>100</v>
      </c>
      <c r="F40" s="9">
        <f>VLOOKUP($D40,'4.เขตปรับKและเกลี่ยเงินเพิ่มฯ'!$E$10:$AJ$104,5,FALSE)</f>
        <v>1.35</v>
      </c>
      <c r="G40" s="9">
        <f>VLOOKUP($D40,'4.เขตปรับKและเกลี่ยเงินเพิ่มฯ'!$E$10:$AJ$104,13,FALSE)</f>
        <v>27940163.010000002</v>
      </c>
      <c r="H40" s="9">
        <f>VLOOKUP($D40,'4.เขตปรับKและเกลี่ยเงินเพิ่มฯ'!$E$10:$AJ$104,14,FALSE)</f>
        <v>5517613.5300000003</v>
      </c>
      <c r="I40" s="9">
        <f>VLOOKUP($D40,'4.เขตปรับKและเกลี่ยเงินเพิ่มฯ'!$E$10:$AJ$104,15,FALSE)+VLOOKUP($D40,'4.เขตปรับKและเกลี่ยเงินเพิ่มฯ'!$E$10:$AJ$104,16,FALSE)+VLOOKUP($D40,'4.เขตปรับKและเกลี่ยเงินเพิ่มฯ'!$E$10:$AJ$104,17,FALSE)</f>
        <v>9025766.6699999999</v>
      </c>
      <c r="J40" s="9">
        <f>VLOOKUP($D40,'4.เขตปรับKและเกลี่ยเงินเพิ่มฯ'!$E$10:$AJ$104,18,FALSE)</f>
        <v>42483543.210000001</v>
      </c>
      <c r="K40" s="9">
        <f>VLOOKUP($D40,'4.เขตปรับKและเกลี่ยเงินเพิ่มฯ'!$E$10:$AJ$104,19,FALSE)</f>
        <v>12889643</v>
      </c>
      <c r="L40" s="9">
        <f>VLOOKUP($D40,'4.เขตปรับKและเกลี่ยเงินเพิ่มฯ'!$E$10:$AJ$104,20,FALSE)</f>
        <v>29593900.210000001</v>
      </c>
      <c r="M40" s="9">
        <f>VLOOKUP($D40,'4.เขตปรับKและเกลี่ยเงินเพิ่มฯ'!$E$10:$AJ$104,21,FALSE)</f>
        <v>0</v>
      </c>
      <c r="N40" s="9">
        <f>VLOOKUP($D40,'4.เขตปรับKและเกลี่ยเงินเพิ่มฯ'!$E$10:$AJ$104,22,FALSE)</f>
        <v>29593900.210000001</v>
      </c>
      <c r="O40" s="9">
        <f>VLOOKUP($D40,'4.เขตปรับKและเกลี่ยเงินเพิ่มฯ'!$E$10:$AJ$104,30,FALSE)</f>
        <v>0</v>
      </c>
      <c r="P40" s="9">
        <f>VLOOKUP($D40,'4.เขตปรับKและเกลี่ยเงินเพิ่มฯ'!$E$10:$AJ$104,32,FALSE)</f>
        <v>29593900.210000001</v>
      </c>
      <c r="Q40" s="9">
        <f>VLOOKUP($D40,'4.เขตปรับKและเกลี่ยเงินเพิ่มฯ'!$E$10:$AJ$104,26,FALSE)</f>
        <v>0</v>
      </c>
      <c r="R40" s="9">
        <f>VLOOKUP($D40,'4.เขตปรับKและเกลี่ยเงินเพิ่มฯ'!$E$10:$AJ$104,23,FALSE)</f>
        <v>23670246.789999999</v>
      </c>
    </row>
    <row r="41" spans="1:18" s="64" customFormat="1" ht="15" customHeight="1" outlineLevel="2">
      <c r="A41" s="67">
        <v>532</v>
      </c>
      <c r="B41" s="68" t="s">
        <v>26</v>
      </c>
      <c r="C41" s="68" t="s">
        <v>60</v>
      </c>
      <c r="D41" s="68" t="s">
        <v>101</v>
      </c>
      <c r="E41" s="68" t="s">
        <v>102</v>
      </c>
      <c r="F41" s="9">
        <f>VLOOKUP($D41,'4.เขตปรับKและเกลี่ยเงินเพิ่มฯ'!$E$10:$AJ$104,5,FALSE)</f>
        <v>1.35</v>
      </c>
      <c r="G41" s="9">
        <f>VLOOKUP($D41,'4.เขตปรับKและเกลี่ยเงินเพิ่มฯ'!$E$10:$AJ$104,13,FALSE)</f>
        <v>29302487.489999998</v>
      </c>
      <c r="H41" s="9">
        <f>VLOOKUP($D41,'4.เขตปรับKและเกลี่ยเงินเพิ่มฯ'!$E$10:$AJ$104,14,FALSE)</f>
        <v>5786644.8799999999</v>
      </c>
      <c r="I41" s="9">
        <f>VLOOKUP($D41,'4.เขตปรับKและเกลี่ยเงินเพิ่มฯ'!$E$10:$AJ$104,15,FALSE)+VLOOKUP($D41,'4.เขตปรับKและเกลี่ยเงินเพิ่มฯ'!$E$10:$AJ$104,16,FALSE)+VLOOKUP($D41,'4.เขตปรับKและเกลี่ยเงินเพิ่มฯ'!$E$10:$AJ$104,17,FALSE)</f>
        <v>7084576.0800000001</v>
      </c>
      <c r="J41" s="9">
        <f>VLOOKUP($D41,'4.เขตปรับKและเกลี่ยเงินเพิ่มฯ'!$E$10:$AJ$104,18,FALSE)</f>
        <v>42173708.449999996</v>
      </c>
      <c r="K41" s="9">
        <f>VLOOKUP($D41,'4.เขตปรับKและเกลี่ยเงินเพิ่มฯ'!$E$10:$AJ$104,19,FALSE)</f>
        <v>14154954</v>
      </c>
      <c r="L41" s="9">
        <f>VLOOKUP($D41,'4.เขตปรับKและเกลี่ยเงินเพิ่มฯ'!$E$10:$AJ$104,20,FALSE)</f>
        <v>28018754.449999999</v>
      </c>
      <c r="M41" s="9">
        <f>VLOOKUP($D41,'4.เขตปรับKและเกลี่ยเงินเพิ่มฯ'!$E$10:$AJ$104,21,FALSE)</f>
        <v>0</v>
      </c>
      <c r="N41" s="9">
        <f>VLOOKUP($D41,'4.เขตปรับKและเกลี่ยเงินเพิ่มฯ'!$E$10:$AJ$104,22,FALSE)</f>
        <v>28018754.449999999</v>
      </c>
      <c r="O41" s="9">
        <f>VLOOKUP($D41,'4.เขตปรับKและเกลี่ยเงินเพิ่มฯ'!$E$10:$AJ$104,30,FALSE)</f>
        <v>0</v>
      </c>
      <c r="P41" s="9">
        <f>VLOOKUP($D41,'4.เขตปรับKและเกลี่ยเงินเพิ่มฯ'!$E$10:$AJ$104,32,FALSE)</f>
        <v>28018754.449999999</v>
      </c>
      <c r="Q41" s="9">
        <f>VLOOKUP($D41,'4.เขตปรับKและเกลี่ยเงินเพิ่มฯ'!$E$10:$AJ$104,26,FALSE)</f>
        <v>0</v>
      </c>
      <c r="R41" s="9">
        <f>VLOOKUP($D41,'4.เขตปรับKและเกลี่ยเงินเพิ่มฯ'!$E$10:$AJ$104,23,FALSE)</f>
        <v>22235059.690000001</v>
      </c>
    </row>
    <row r="42" spans="1:18" s="64" customFormat="1" ht="15" customHeight="1" outlineLevel="1">
      <c r="A42" s="143"/>
      <c r="B42" s="144"/>
      <c r="C42" s="145" t="s">
        <v>281</v>
      </c>
      <c r="D42" s="144"/>
      <c r="E42" s="144"/>
      <c r="F42" s="190"/>
      <c r="G42" s="190">
        <f t="shared" ref="G42:R42" si="2">SUBTOTAL(9,G21:G41)</f>
        <v>1313067893.1999998</v>
      </c>
      <c r="H42" s="190">
        <f t="shared" si="2"/>
        <v>259304183.94999996</v>
      </c>
      <c r="I42" s="190">
        <f t="shared" si="2"/>
        <v>1400765076.1099999</v>
      </c>
      <c r="J42" s="190">
        <f t="shared" si="2"/>
        <v>2973137153.2599998</v>
      </c>
      <c r="K42" s="190">
        <f t="shared" si="2"/>
        <v>1195938268</v>
      </c>
      <c r="L42" s="190">
        <f t="shared" si="2"/>
        <v>1777198885.2600002</v>
      </c>
      <c r="M42" s="190">
        <f t="shared" si="2"/>
        <v>9413153.4600000009</v>
      </c>
      <c r="N42" s="190">
        <f t="shared" si="2"/>
        <v>1786612038.7200003</v>
      </c>
      <c r="O42" s="190">
        <f t="shared" si="2"/>
        <v>0</v>
      </c>
      <c r="P42" s="190">
        <f t="shared" si="2"/>
        <v>1786612038.7200003</v>
      </c>
      <c r="Q42" s="190">
        <f t="shared" si="2"/>
        <v>0</v>
      </c>
      <c r="R42" s="190">
        <f t="shared" si="2"/>
        <v>1618537065.3099997</v>
      </c>
    </row>
    <row r="43" spans="1:18" s="64" customFormat="1" ht="15" customHeight="1" outlineLevel="2">
      <c r="A43" s="67">
        <v>533</v>
      </c>
      <c r="B43" s="68" t="s">
        <v>26</v>
      </c>
      <c r="C43" s="68" t="s">
        <v>104</v>
      </c>
      <c r="D43" s="68" t="s">
        <v>105</v>
      </c>
      <c r="E43" s="68" t="s">
        <v>106</v>
      </c>
      <c r="F43" s="9">
        <f>VLOOKUP($D43,'4.เขตปรับKและเกลี่ยเงินเพิ่มฯ'!$E$10:$AJ$104,5,FALSE)</f>
        <v>1.1000000000000001</v>
      </c>
      <c r="G43" s="9">
        <f>VLOOKUP($D43,'4.เขตปรับKและเกลี่ยเงินเพิ่มฯ'!$E$10:$AJ$104,13,FALSE)</f>
        <v>101475244.76000001</v>
      </c>
      <c r="H43" s="9">
        <f>VLOOKUP($D43,'4.เขตปรับKและเกลี่ยเงินเพิ่มฯ'!$E$10:$AJ$104,14,FALSE)</f>
        <v>19521793.34</v>
      </c>
      <c r="I43" s="9">
        <f>VLOOKUP($D43,'4.เขตปรับKและเกลี่ยเงินเพิ่มฯ'!$E$10:$AJ$104,15,FALSE)+VLOOKUP($D43,'4.เขตปรับKและเกลี่ยเงินเพิ่มฯ'!$E$10:$AJ$104,16,FALSE)+VLOOKUP($D43,'4.เขตปรับKและเกลี่ยเงินเพิ่มฯ'!$E$10:$AJ$104,17,FALSE)</f>
        <v>357972997.81999999</v>
      </c>
      <c r="J43" s="9">
        <f>VLOOKUP($D43,'4.เขตปรับKและเกลี่ยเงินเพิ่มฯ'!$E$10:$AJ$104,18,FALSE)</f>
        <v>478970035.92000002</v>
      </c>
      <c r="K43" s="9">
        <f>VLOOKUP($D43,'4.เขตปรับKและเกลี่ยเงินเพิ่มฯ'!$E$10:$AJ$104,19,FALSE)</f>
        <v>226933961</v>
      </c>
      <c r="L43" s="9">
        <f>VLOOKUP($D43,'4.เขตปรับKและเกลี่ยเงินเพิ่มฯ'!$E$10:$AJ$104,20,FALSE)</f>
        <v>252036074.91999999</v>
      </c>
      <c r="M43" s="9">
        <f>VLOOKUP($D43,'4.เขตปรับKและเกลี่ยเงินเพิ่มฯ'!$E$10:$AJ$104,21,FALSE)</f>
        <v>3097094.05</v>
      </c>
      <c r="N43" s="9">
        <f>VLOOKUP($D43,'4.เขตปรับKและเกลี่ยเงินเพิ่มฯ'!$E$10:$AJ$104,22,FALSE)</f>
        <v>255133168.97</v>
      </c>
      <c r="O43" s="9">
        <f>VLOOKUP($D43,'4.เขตปรับKและเกลี่ยเงินเพิ่มฯ'!$E$10:$AJ$104,30,FALSE)</f>
        <v>0</v>
      </c>
      <c r="P43" s="9">
        <f>VLOOKUP($D43,'4.เขตปรับKและเกลี่ยเงินเพิ่มฯ'!$E$10:$AJ$104,32,FALSE)</f>
        <v>255133168.97</v>
      </c>
      <c r="Q43" s="9">
        <f>VLOOKUP($D43,'4.เขตปรับKและเกลี่ยเงินเพิ่มฯ'!$E$10:$AJ$104,26,FALSE)</f>
        <v>0</v>
      </c>
      <c r="R43" s="9">
        <f>VLOOKUP($D43,'4.เขตปรับKและเกลี่ยเงินเพิ่มฯ'!$E$10:$AJ$104,23,FALSE)</f>
        <v>255133168.97</v>
      </c>
    </row>
    <row r="44" spans="1:18" s="64" customFormat="1" ht="15" customHeight="1" outlineLevel="2">
      <c r="A44" s="67">
        <v>534</v>
      </c>
      <c r="B44" s="68" t="s">
        <v>26</v>
      </c>
      <c r="C44" s="68" t="s">
        <v>104</v>
      </c>
      <c r="D44" s="68" t="s">
        <v>107</v>
      </c>
      <c r="E44" s="68" t="s">
        <v>108</v>
      </c>
      <c r="F44" s="9">
        <f>VLOOKUP($D44,'4.เขตปรับKและเกลี่ยเงินเพิ่มฯ'!$E$10:$AJ$104,5,FALSE)</f>
        <v>1.3</v>
      </c>
      <c r="G44" s="9">
        <f>VLOOKUP($D44,'4.เขตปรับKและเกลี่ยเงินเพิ่มฯ'!$E$10:$AJ$104,13,FALSE)</f>
        <v>33168193.59</v>
      </c>
      <c r="H44" s="9">
        <f>VLOOKUP($D44,'4.เขตปรับKและเกลี่ยเงินเพิ่มฯ'!$E$10:$AJ$104,14,FALSE)</f>
        <v>6380892.4299999997</v>
      </c>
      <c r="I44" s="9">
        <f>VLOOKUP($D44,'4.เขตปรับKและเกลี่ยเงินเพิ่มฯ'!$E$10:$AJ$104,15,FALSE)+VLOOKUP($D44,'4.เขตปรับKและเกลี่ยเงินเพิ่มฯ'!$E$10:$AJ$104,16,FALSE)+VLOOKUP($D44,'4.เขตปรับKและเกลี่ยเงินเพิ่มฯ'!$E$10:$AJ$104,17,FALSE)</f>
        <v>11902702.02</v>
      </c>
      <c r="J44" s="9">
        <f>VLOOKUP($D44,'4.เขตปรับKและเกลี่ยเงินเพิ่มฯ'!$E$10:$AJ$104,18,FALSE)</f>
        <v>51451788.039999999</v>
      </c>
      <c r="K44" s="9">
        <f>VLOOKUP($D44,'4.เขตปรับKและเกลี่ยเงินเพิ่มฯ'!$E$10:$AJ$104,19,FALSE)</f>
        <v>17741677</v>
      </c>
      <c r="L44" s="9">
        <f>VLOOKUP($D44,'4.เขตปรับKและเกลี่ยเงินเพิ่มฯ'!$E$10:$AJ$104,20,FALSE)</f>
        <v>33710111.039999999</v>
      </c>
      <c r="M44" s="9">
        <f>VLOOKUP($D44,'4.เขตปรับKและเกลี่ยเงินเพิ่มฯ'!$E$10:$AJ$104,21,FALSE)</f>
        <v>0</v>
      </c>
      <c r="N44" s="9">
        <f>VLOOKUP($D44,'4.เขตปรับKและเกลี่ยเงินเพิ่มฯ'!$E$10:$AJ$104,22,FALSE)</f>
        <v>33710111.039999999</v>
      </c>
      <c r="O44" s="9">
        <f>VLOOKUP($D44,'4.เขตปรับKและเกลี่ยเงินเพิ่มฯ'!$E$10:$AJ$104,30,FALSE)</f>
        <v>0</v>
      </c>
      <c r="P44" s="9">
        <f>VLOOKUP($D44,'4.เขตปรับKและเกลี่ยเงินเพิ่มฯ'!$E$10:$AJ$104,32,FALSE)</f>
        <v>33710111.039999999</v>
      </c>
      <c r="Q44" s="9">
        <f>VLOOKUP($D44,'4.เขตปรับKและเกลี่ยเงินเพิ่มฯ'!$E$10:$AJ$104,26,FALSE)</f>
        <v>0</v>
      </c>
      <c r="R44" s="9">
        <f>VLOOKUP($D44,'4.เขตปรับKและเกลี่ยเงินเพิ่มฯ'!$E$10:$AJ$104,23,FALSE)</f>
        <v>27766981.989999998</v>
      </c>
    </row>
    <row r="45" spans="1:18" s="64" customFormat="1" ht="15" customHeight="1" outlineLevel="2">
      <c r="A45" s="67">
        <v>535</v>
      </c>
      <c r="B45" s="68" t="s">
        <v>26</v>
      </c>
      <c r="C45" s="68" t="s">
        <v>104</v>
      </c>
      <c r="D45" s="68" t="s">
        <v>109</v>
      </c>
      <c r="E45" s="68" t="s">
        <v>110</v>
      </c>
      <c r="F45" s="9">
        <f>VLOOKUP($D45,'4.เขตปรับKและเกลี่ยเงินเพิ่มฯ'!$E$10:$AJ$104,5,FALSE)</f>
        <v>1.2</v>
      </c>
      <c r="G45" s="9">
        <f>VLOOKUP($D45,'4.เขตปรับKและเกลี่ยเงินเพิ่มฯ'!$E$10:$AJ$104,13,FALSE)</f>
        <v>61789784.520000003</v>
      </c>
      <c r="H45" s="9">
        <f>VLOOKUP($D45,'4.เขตปรับKและเกลี่ยเงินเพิ่มฯ'!$E$10:$AJ$104,14,FALSE)</f>
        <v>11887110.07</v>
      </c>
      <c r="I45" s="9">
        <f>VLOOKUP($D45,'4.เขตปรับKและเกลี่ยเงินเพิ่มฯ'!$E$10:$AJ$104,15,FALSE)+VLOOKUP($D45,'4.เขตปรับKและเกลี่ยเงินเพิ่มฯ'!$E$10:$AJ$104,16,FALSE)+VLOOKUP($D45,'4.เขตปรับKและเกลี่ยเงินเพิ่มฯ'!$E$10:$AJ$104,17,FALSE)</f>
        <v>21982520.649999999</v>
      </c>
      <c r="J45" s="9">
        <f>VLOOKUP($D45,'4.เขตปรับKและเกลี่ยเงินเพิ่มฯ'!$E$10:$AJ$104,18,FALSE)</f>
        <v>95659415.24000001</v>
      </c>
      <c r="K45" s="9">
        <f>VLOOKUP($D45,'4.เขตปรับKและเกลี่ยเงินเพิ่มฯ'!$E$10:$AJ$104,19,FALSE)</f>
        <v>39004774</v>
      </c>
      <c r="L45" s="9">
        <f>VLOOKUP($D45,'4.เขตปรับKและเกลี่ยเงินเพิ่มฯ'!$E$10:$AJ$104,20,FALSE)</f>
        <v>56654641.240000002</v>
      </c>
      <c r="M45" s="9">
        <f>VLOOKUP($D45,'4.เขตปรับKและเกลี่ยเงินเพิ่มฯ'!$E$10:$AJ$104,21,FALSE)</f>
        <v>1997948.93</v>
      </c>
      <c r="N45" s="9">
        <f>VLOOKUP($D45,'4.เขตปรับKและเกลี่ยเงินเพิ่มฯ'!$E$10:$AJ$104,22,FALSE)</f>
        <v>58652590.170000002</v>
      </c>
      <c r="O45" s="9">
        <f>VLOOKUP($D45,'4.เขตปรับKและเกลี่ยเงินเพิ่มฯ'!$E$10:$AJ$104,30,FALSE)</f>
        <v>0</v>
      </c>
      <c r="P45" s="9">
        <f>VLOOKUP($D45,'4.เขตปรับKและเกลี่ยเงินเพิ่มฯ'!$E$10:$AJ$104,32,FALSE)</f>
        <v>58652590.170000002</v>
      </c>
      <c r="Q45" s="9">
        <f>VLOOKUP($D45,'4.เขตปรับKและเกลี่ยเงินเพิ่มฯ'!$E$10:$AJ$104,26,FALSE)</f>
        <v>0</v>
      </c>
      <c r="R45" s="9">
        <f>VLOOKUP($D45,'4.เขตปรับKและเกลี่ยเงินเพิ่มฯ'!$E$10:$AJ$104,23,FALSE)</f>
        <v>58652590.170000002</v>
      </c>
    </row>
    <row r="46" spans="1:18" s="64" customFormat="1" ht="15" customHeight="1" outlineLevel="2">
      <c r="A46" s="67">
        <v>536</v>
      </c>
      <c r="B46" s="68" t="s">
        <v>26</v>
      </c>
      <c r="C46" s="68" t="s">
        <v>104</v>
      </c>
      <c r="D46" s="68" t="s">
        <v>111</v>
      </c>
      <c r="E46" s="68" t="s">
        <v>112</v>
      </c>
      <c r="F46" s="9">
        <f>VLOOKUP($D46,'4.เขตปรับKและเกลี่ยเงินเพิ่มฯ'!$E$10:$AJ$104,5,FALSE)</f>
        <v>1.25</v>
      </c>
      <c r="G46" s="9">
        <f>VLOOKUP($D46,'4.เขตปรับKและเกลี่ยเงินเพิ่มฯ'!$E$10:$AJ$104,13,FALSE)</f>
        <v>48549366.310000002</v>
      </c>
      <c r="H46" s="9">
        <f>VLOOKUP($D46,'4.เขตปรับKและเกลี่ยเงินเพิ่มฯ'!$E$10:$AJ$104,14,FALSE)</f>
        <v>9339920.2699999996</v>
      </c>
      <c r="I46" s="9">
        <f>VLOOKUP($D46,'4.เขตปรับKและเกลี่ยเงินเพิ่มฯ'!$E$10:$AJ$104,15,FALSE)+VLOOKUP($D46,'4.เขตปรับKและเกลี่ยเงินเพิ่มฯ'!$E$10:$AJ$104,16,FALSE)+VLOOKUP($D46,'4.เขตปรับKและเกลี่ยเงินเพิ่มฯ'!$E$10:$AJ$104,17,FALSE)</f>
        <v>21209098.509999998</v>
      </c>
      <c r="J46" s="9">
        <f>VLOOKUP($D46,'4.เขตปรับKและเกลี่ยเงินเพิ่มฯ'!$E$10:$AJ$104,18,FALSE)</f>
        <v>79098385.089999989</v>
      </c>
      <c r="K46" s="9">
        <f>VLOOKUP($D46,'4.เขตปรับKและเกลี่ยเงินเพิ่มฯ'!$E$10:$AJ$104,19,FALSE)</f>
        <v>22585410</v>
      </c>
      <c r="L46" s="9">
        <f>VLOOKUP($D46,'4.เขตปรับKและเกลี่ยเงินเพิ่มฯ'!$E$10:$AJ$104,20,FALSE)</f>
        <v>56512975.090000004</v>
      </c>
      <c r="M46" s="9">
        <f>VLOOKUP($D46,'4.เขตปรับKและเกลี่ยเงินเพิ่มฯ'!$E$10:$AJ$104,21,FALSE)</f>
        <v>0</v>
      </c>
      <c r="N46" s="9">
        <f>VLOOKUP($D46,'4.เขตปรับKและเกลี่ยเงินเพิ่มฯ'!$E$10:$AJ$104,22,FALSE)</f>
        <v>56512975.090000004</v>
      </c>
      <c r="O46" s="9">
        <f>VLOOKUP($D46,'4.เขตปรับKและเกลี่ยเงินเพิ่มฯ'!$E$10:$AJ$104,30,FALSE)</f>
        <v>0</v>
      </c>
      <c r="P46" s="9">
        <f>VLOOKUP($D46,'4.เขตปรับKและเกลี่ยเงินเพิ่มฯ'!$E$10:$AJ$104,32,FALSE)</f>
        <v>56512975.090000004</v>
      </c>
      <c r="Q46" s="9">
        <f>VLOOKUP($D46,'4.เขตปรับKและเกลี่ยเงินเพิ่มฯ'!$E$10:$AJ$104,26,FALSE)</f>
        <v>0</v>
      </c>
      <c r="R46" s="9">
        <f>VLOOKUP($D46,'4.เขตปรับKและเกลี่ยเงินเพิ่มฯ'!$E$10:$AJ$104,23,FALSE)</f>
        <v>47996250.880000003</v>
      </c>
    </row>
    <row r="47" spans="1:18" s="64" customFormat="1" ht="15" customHeight="1" outlineLevel="2">
      <c r="A47" s="67">
        <v>537</v>
      </c>
      <c r="B47" s="68" t="s">
        <v>26</v>
      </c>
      <c r="C47" s="68" t="s">
        <v>104</v>
      </c>
      <c r="D47" s="68" t="s">
        <v>113</v>
      </c>
      <c r="E47" s="68" t="s">
        <v>114</v>
      </c>
      <c r="F47" s="9">
        <f>VLOOKUP($D47,'4.เขตปรับKและเกลี่ยเงินเพิ่มฯ'!$E$10:$AJ$104,5,FALSE)</f>
        <v>1.4</v>
      </c>
      <c r="G47" s="9">
        <f>VLOOKUP($D47,'4.เขตปรับKและเกลี่ยเงินเพิ่มฯ'!$E$10:$AJ$104,13,FALSE)</f>
        <v>15145952.57</v>
      </c>
      <c r="H47" s="9">
        <f>VLOOKUP($D47,'4.เขตปรับKและเกลี่ยเงินเพิ่มฯ'!$E$10:$AJ$104,14,FALSE)</f>
        <v>2913776.23</v>
      </c>
      <c r="I47" s="9">
        <f>VLOOKUP($D47,'4.เขตปรับKและเกลี่ยเงินเพิ่มฯ'!$E$10:$AJ$104,15,FALSE)+VLOOKUP($D47,'4.เขตปรับKและเกลี่ยเงินเพิ่มฯ'!$E$10:$AJ$104,16,FALSE)+VLOOKUP($D47,'4.เขตปรับKและเกลี่ยเงินเพิ่มฯ'!$E$10:$AJ$104,17,FALSE)</f>
        <v>5880460.8200000003</v>
      </c>
      <c r="J47" s="9">
        <f>VLOOKUP($D47,'4.เขตปรับKและเกลี่ยเงินเพิ่มฯ'!$E$10:$AJ$104,18,FALSE)</f>
        <v>23940189.620000001</v>
      </c>
      <c r="K47" s="9">
        <f>VLOOKUP($D47,'4.เขตปรับKและเกลี่ยเงินเพิ่มฯ'!$E$10:$AJ$104,19,FALSE)</f>
        <v>15304611</v>
      </c>
      <c r="L47" s="9">
        <f>VLOOKUP($D47,'4.เขตปรับKและเกลี่ยเงินเพิ่มฯ'!$E$10:$AJ$104,20,FALSE)</f>
        <v>8635578.6199999992</v>
      </c>
      <c r="M47" s="9">
        <f>VLOOKUP($D47,'4.เขตปรับKและเกลี่ยเงินเพิ่มฯ'!$E$10:$AJ$104,21,FALSE)</f>
        <v>12276632.779999999</v>
      </c>
      <c r="N47" s="9">
        <f>VLOOKUP($D47,'4.เขตปรับKและเกลี่ยเงินเพิ่มฯ'!$E$10:$AJ$104,22,FALSE)</f>
        <v>20912211.399999999</v>
      </c>
      <c r="O47" s="9">
        <f>VLOOKUP($D47,'4.เขตปรับKและเกลี่ยเงินเพิ่มฯ'!$E$10:$AJ$104,30,FALSE)</f>
        <v>0</v>
      </c>
      <c r="P47" s="9">
        <f>VLOOKUP($D47,'4.เขตปรับKและเกลี่ยเงินเพิ่มฯ'!$E$10:$AJ$104,32,FALSE)</f>
        <v>20912211.399999999</v>
      </c>
      <c r="Q47" s="9">
        <f>VLOOKUP($D47,'4.เขตปรับKและเกลี่ยเงินเพิ่มฯ'!$E$10:$AJ$104,26,FALSE)</f>
        <v>0</v>
      </c>
      <c r="R47" s="9">
        <f>VLOOKUP($D47,'4.เขตปรับKและเกลี่ยเงินเพิ่มฯ'!$E$10:$AJ$104,23,FALSE)</f>
        <v>20912211.399999999</v>
      </c>
    </row>
    <row r="48" spans="1:18" s="64" customFormat="1" ht="15" customHeight="1" outlineLevel="2">
      <c r="A48" s="67">
        <v>538</v>
      </c>
      <c r="B48" s="68" t="s">
        <v>26</v>
      </c>
      <c r="C48" s="68" t="s">
        <v>104</v>
      </c>
      <c r="D48" s="68" t="s">
        <v>115</v>
      </c>
      <c r="E48" s="68" t="s">
        <v>116</v>
      </c>
      <c r="F48" s="9">
        <f>VLOOKUP($D48,'4.เขตปรับKและเกลี่ยเงินเพิ่มฯ'!$E$10:$AJ$104,5,FALSE)</f>
        <v>1.35</v>
      </c>
      <c r="G48" s="9">
        <f>VLOOKUP($D48,'4.เขตปรับKและเกลี่ยเงินเพิ่มฯ'!$E$10:$AJ$104,13,FALSE)</f>
        <v>28717311.699999999</v>
      </c>
      <c r="H48" s="9">
        <f>VLOOKUP($D48,'4.เขตปรับKและเกลี่ยเงินเพิ่มฯ'!$E$10:$AJ$104,14,FALSE)</f>
        <v>5524632.3899999997</v>
      </c>
      <c r="I48" s="9">
        <f>VLOOKUP($D48,'4.เขตปรับKและเกลี่ยเงินเพิ่มฯ'!$E$10:$AJ$104,15,FALSE)+VLOOKUP($D48,'4.เขตปรับKและเกลี่ยเงินเพิ่มฯ'!$E$10:$AJ$104,16,FALSE)+VLOOKUP($D48,'4.เขตปรับKและเกลี่ยเงินเพิ่มฯ'!$E$10:$AJ$104,17,FALSE)</f>
        <v>9722743.2600000016</v>
      </c>
      <c r="J48" s="9">
        <f>VLOOKUP($D48,'4.เขตปรับKและเกลี่ยเงินเพิ่มฯ'!$E$10:$AJ$104,18,FALSE)</f>
        <v>43964687.349999994</v>
      </c>
      <c r="K48" s="9">
        <f>VLOOKUP($D48,'4.เขตปรับKและเกลี่ยเงินเพิ่มฯ'!$E$10:$AJ$104,19,FALSE)</f>
        <v>20355347</v>
      </c>
      <c r="L48" s="9">
        <f>VLOOKUP($D48,'4.เขตปรับKและเกลี่ยเงินเพิ่มฯ'!$E$10:$AJ$104,20,FALSE)</f>
        <v>23609340.350000001</v>
      </c>
      <c r="M48" s="9">
        <f>VLOOKUP($D48,'4.เขตปรับKและเกลี่ยเงินเพิ่มฯ'!$E$10:$AJ$104,21,FALSE)</f>
        <v>0</v>
      </c>
      <c r="N48" s="9">
        <f>VLOOKUP($D48,'4.เขตปรับKและเกลี่ยเงินเพิ่มฯ'!$E$10:$AJ$104,22,FALSE)</f>
        <v>23609340.350000001</v>
      </c>
      <c r="O48" s="9">
        <f>VLOOKUP($D48,'4.เขตปรับKและเกลี่ยเงินเพิ่มฯ'!$E$10:$AJ$104,30,FALSE)</f>
        <v>0</v>
      </c>
      <c r="P48" s="9">
        <f>VLOOKUP($D48,'4.เขตปรับKและเกลี่ยเงินเพิ่มฯ'!$E$10:$AJ$104,32,FALSE)</f>
        <v>23609340.350000001</v>
      </c>
      <c r="Q48" s="9">
        <f>VLOOKUP($D48,'4.เขตปรับKและเกลี่ยเงินเพิ่มฯ'!$E$10:$AJ$104,26,FALSE)</f>
        <v>0</v>
      </c>
      <c r="R48" s="9">
        <f>VLOOKUP($D48,'4.เขตปรับKและเกลี่ยเงินเพิ่มฯ'!$E$10:$AJ$104,23,FALSE)</f>
        <v>22370636.469999999</v>
      </c>
    </row>
    <row r="49" spans="1:18" s="64" customFormat="1" ht="15" customHeight="1" outlineLevel="2">
      <c r="A49" s="67">
        <v>539</v>
      </c>
      <c r="B49" s="68" t="s">
        <v>26</v>
      </c>
      <c r="C49" s="68" t="s">
        <v>104</v>
      </c>
      <c r="D49" s="68" t="s">
        <v>117</v>
      </c>
      <c r="E49" s="68" t="s">
        <v>118</v>
      </c>
      <c r="F49" s="9">
        <f>VLOOKUP($D49,'4.เขตปรับKและเกลี่ยเงินเพิ่มฯ'!$E$10:$AJ$104,5,FALSE)</f>
        <v>1.3</v>
      </c>
      <c r="G49" s="9">
        <f>VLOOKUP($D49,'4.เขตปรับKและเกลี่ยเงินเพิ่มฯ'!$E$10:$AJ$104,13,FALSE)</f>
        <v>32947147.66</v>
      </c>
      <c r="H49" s="9">
        <f>VLOOKUP($D49,'4.เขตปรับKและเกลี่ยเงินเพิ่มฯ'!$E$10:$AJ$104,14,FALSE)</f>
        <v>6338367.6399999997</v>
      </c>
      <c r="I49" s="9">
        <f>VLOOKUP($D49,'4.เขตปรับKและเกลี่ยเงินเพิ่มฯ'!$E$10:$AJ$104,15,FALSE)+VLOOKUP($D49,'4.เขตปรับKและเกลี่ยเงินเพิ่มฯ'!$E$10:$AJ$104,16,FALSE)+VLOOKUP($D49,'4.เขตปรับKและเกลี่ยเงินเพิ่มฯ'!$E$10:$AJ$104,17,FALSE)</f>
        <v>13464449.6</v>
      </c>
      <c r="J49" s="9">
        <f>VLOOKUP($D49,'4.เขตปรับKและเกลี่ยเงินเพิ่มฯ'!$E$10:$AJ$104,18,FALSE)</f>
        <v>52749964.899999991</v>
      </c>
      <c r="K49" s="9">
        <f>VLOOKUP($D49,'4.เขตปรับKและเกลี่ยเงินเพิ่มฯ'!$E$10:$AJ$104,19,FALSE)</f>
        <v>25034282</v>
      </c>
      <c r="L49" s="9">
        <f>VLOOKUP($D49,'4.เขตปรับKและเกลี่ยเงินเพิ่มฯ'!$E$10:$AJ$104,20,FALSE)</f>
        <v>27715682.899999999</v>
      </c>
      <c r="M49" s="9">
        <f>VLOOKUP($D49,'4.เขตปรับKและเกลี่ยเงินเพิ่มฯ'!$E$10:$AJ$104,21,FALSE)</f>
        <v>1094420.1200000001</v>
      </c>
      <c r="N49" s="9">
        <f>VLOOKUP($D49,'4.เขตปรับKและเกลี่ยเงินเพิ่มฯ'!$E$10:$AJ$104,22,FALSE)</f>
        <v>28810103.02</v>
      </c>
      <c r="O49" s="9">
        <f>VLOOKUP($D49,'4.เขตปรับKและเกลี่ยเงินเพิ่มฯ'!$E$10:$AJ$104,30,FALSE)</f>
        <v>0</v>
      </c>
      <c r="P49" s="9">
        <f>VLOOKUP($D49,'4.เขตปรับKและเกลี่ยเงินเพิ่มฯ'!$E$10:$AJ$104,32,FALSE)</f>
        <v>28810103.02</v>
      </c>
      <c r="Q49" s="9">
        <f>VLOOKUP($D49,'4.เขตปรับKและเกลี่ยเงินเพิ่มฯ'!$E$10:$AJ$104,26,FALSE)</f>
        <v>0</v>
      </c>
      <c r="R49" s="9">
        <f>VLOOKUP($D49,'4.เขตปรับKและเกลี่ยเงินเพิ่มฯ'!$E$10:$AJ$104,23,FALSE)</f>
        <v>28810103.02</v>
      </c>
    </row>
    <row r="50" spans="1:18" s="64" customFormat="1" ht="15" customHeight="1" outlineLevel="2">
      <c r="A50" s="67">
        <v>540</v>
      </c>
      <c r="B50" s="68" t="s">
        <v>26</v>
      </c>
      <c r="C50" s="68" t="s">
        <v>104</v>
      </c>
      <c r="D50" s="68" t="s">
        <v>119</v>
      </c>
      <c r="E50" s="68" t="s">
        <v>120</v>
      </c>
      <c r="F50" s="9">
        <f>VLOOKUP($D50,'4.เขตปรับKและเกลี่ยเงินเพิ่มฯ'!$E$10:$AJ$104,5,FALSE)</f>
        <v>1.1000000000000001</v>
      </c>
      <c r="G50" s="9">
        <f>VLOOKUP($D50,'4.เขตปรับKและเกลี่ยเงินเพิ่มฯ'!$E$10:$AJ$104,13,FALSE)</f>
        <v>96565360.620000005</v>
      </c>
      <c r="H50" s="9">
        <f>VLOOKUP($D50,'4.เขตปรับKและเกลี่ยเงินเพิ่มฯ'!$E$10:$AJ$104,14,FALSE)</f>
        <v>18577230.510000002</v>
      </c>
      <c r="I50" s="9">
        <f>VLOOKUP($D50,'4.เขตปรับKและเกลี่ยเงินเพิ่มฯ'!$E$10:$AJ$104,15,FALSE)+VLOOKUP($D50,'4.เขตปรับKและเกลี่ยเงินเพิ่มฯ'!$E$10:$AJ$104,16,FALSE)+VLOOKUP($D50,'4.เขตปรับKและเกลี่ยเงินเพิ่มฯ'!$E$10:$AJ$104,17,FALSE)</f>
        <v>43325299.120000005</v>
      </c>
      <c r="J50" s="9">
        <f>VLOOKUP($D50,'4.เขตปรับKและเกลี่ยเงินเพิ่มฯ'!$E$10:$AJ$104,18,FALSE)</f>
        <v>158467890.25</v>
      </c>
      <c r="K50" s="9">
        <f>VLOOKUP($D50,'4.เขตปรับKและเกลี่ยเงินเพิ่มฯ'!$E$10:$AJ$104,19,FALSE)</f>
        <v>79095048</v>
      </c>
      <c r="L50" s="9">
        <f>VLOOKUP($D50,'4.เขตปรับKและเกลี่ยเงินเพิ่มฯ'!$E$10:$AJ$104,20,FALSE)</f>
        <v>79372842.25</v>
      </c>
      <c r="M50" s="9">
        <f>VLOOKUP($D50,'4.เขตปรับKและเกลี่ยเงินเพิ่มฯ'!$E$10:$AJ$104,21,FALSE)</f>
        <v>0</v>
      </c>
      <c r="N50" s="9">
        <f>VLOOKUP($D50,'4.เขตปรับKและเกลี่ยเงินเพิ่มฯ'!$E$10:$AJ$104,22,FALSE)</f>
        <v>79372842.25</v>
      </c>
      <c r="O50" s="9">
        <f>VLOOKUP($D50,'4.เขตปรับKและเกลี่ยเงินเพิ่มฯ'!$E$10:$AJ$104,30,FALSE)</f>
        <v>0</v>
      </c>
      <c r="P50" s="9">
        <f>VLOOKUP($D50,'4.เขตปรับKและเกลี่ยเงินเพิ่มฯ'!$E$10:$AJ$104,32,FALSE)</f>
        <v>79372842.25</v>
      </c>
      <c r="Q50" s="9">
        <f>VLOOKUP($D50,'4.เขตปรับKและเกลี่ยเงินเพิ่มฯ'!$E$10:$AJ$104,26,FALSE)</f>
        <v>0</v>
      </c>
      <c r="R50" s="9">
        <f>VLOOKUP($D50,'4.เขตปรับKและเกลี่ยเงินเพิ่มฯ'!$E$10:$AJ$104,23,FALSE)</f>
        <v>76273769.379999995</v>
      </c>
    </row>
    <row r="51" spans="1:18" s="64" customFormat="1" ht="15" customHeight="1" outlineLevel="2">
      <c r="A51" s="67">
        <v>541</v>
      </c>
      <c r="B51" s="68" t="s">
        <v>26</v>
      </c>
      <c r="C51" s="68" t="s">
        <v>104</v>
      </c>
      <c r="D51" s="68" t="s">
        <v>121</v>
      </c>
      <c r="E51" s="68" t="s">
        <v>122</v>
      </c>
      <c r="F51" s="9">
        <f>VLOOKUP($D51,'4.เขตปรับKและเกลี่ยเงินเพิ่มฯ'!$E$10:$AJ$104,5,FALSE)</f>
        <v>1.3</v>
      </c>
      <c r="G51" s="9">
        <f>VLOOKUP($D51,'4.เขตปรับKและเกลี่ยเงินเพิ่มฯ'!$E$10:$AJ$104,13,FALSE)</f>
        <v>39945260.979999997</v>
      </c>
      <c r="H51" s="9">
        <f>VLOOKUP($D51,'4.เขตปรับKและเกลี่ยเงินเพิ่มฯ'!$E$10:$AJ$104,14,FALSE)</f>
        <v>7684663.7000000002</v>
      </c>
      <c r="I51" s="9">
        <f>VLOOKUP($D51,'4.เขตปรับKและเกลี่ยเงินเพิ่มฯ'!$E$10:$AJ$104,15,FALSE)+VLOOKUP($D51,'4.เขตปรับKและเกลี่ยเงินเพิ่มฯ'!$E$10:$AJ$104,16,FALSE)+VLOOKUP($D51,'4.เขตปรับKและเกลี่ยเงินเพิ่มฯ'!$E$10:$AJ$104,17,FALSE)</f>
        <v>14408441.09</v>
      </c>
      <c r="J51" s="9">
        <f>VLOOKUP($D51,'4.เขตปรับKและเกลี่ยเงินเพิ่มฯ'!$E$10:$AJ$104,18,FALSE)</f>
        <v>62038365.769999996</v>
      </c>
      <c r="K51" s="9">
        <f>VLOOKUP($D51,'4.เขตปรับKและเกลี่ยเงินเพิ่มฯ'!$E$10:$AJ$104,19,FALSE)</f>
        <v>25405209</v>
      </c>
      <c r="L51" s="9">
        <f>VLOOKUP($D51,'4.เขตปรับKและเกลี่ยเงินเพิ่มฯ'!$E$10:$AJ$104,20,FALSE)</f>
        <v>36633156.770000003</v>
      </c>
      <c r="M51" s="9">
        <f>VLOOKUP($D51,'4.เขตปรับKและเกลี่ยเงินเพิ่มฯ'!$E$10:$AJ$104,21,FALSE)</f>
        <v>0</v>
      </c>
      <c r="N51" s="9">
        <f>VLOOKUP($D51,'4.เขตปรับKและเกลี่ยเงินเพิ่มฯ'!$E$10:$AJ$104,22,FALSE)</f>
        <v>36633156.770000003</v>
      </c>
      <c r="O51" s="9">
        <f>VLOOKUP($D51,'4.เขตปรับKและเกลี่ยเงินเพิ่มฯ'!$E$10:$AJ$104,30,FALSE)</f>
        <v>0</v>
      </c>
      <c r="P51" s="9">
        <f>VLOOKUP($D51,'4.เขตปรับKและเกลี่ยเงินเพิ่มฯ'!$E$10:$AJ$104,32,FALSE)</f>
        <v>36633156.770000003</v>
      </c>
      <c r="Q51" s="9">
        <f>VLOOKUP($D51,'4.เขตปรับKและเกลี่ยเงินเพิ่มฯ'!$E$10:$AJ$104,26,FALSE)</f>
        <v>0</v>
      </c>
      <c r="R51" s="9">
        <f>VLOOKUP($D51,'4.เขตปรับKและเกลี่ยเงินเพิ่มฯ'!$E$10:$AJ$104,23,FALSE)</f>
        <v>30905605.260000002</v>
      </c>
    </row>
    <row r="52" spans="1:18" s="64" customFormat="1" ht="15" customHeight="1" outlineLevel="2">
      <c r="A52" s="67">
        <v>542</v>
      </c>
      <c r="B52" s="68" t="s">
        <v>26</v>
      </c>
      <c r="C52" s="68" t="s">
        <v>104</v>
      </c>
      <c r="D52" s="68" t="s">
        <v>123</v>
      </c>
      <c r="E52" s="68" t="s">
        <v>124</v>
      </c>
      <c r="F52" s="9">
        <f>VLOOKUP($D52,'4.เขตปรับKและเกลี่ยเงินเพิ่มฯ'!$E$10:$AJ$104,5,FALSE)</f>
        <v>1.3</v>
      </c>
      <c r="G52" s="9">
        <f>VLOOKUP($D52,'4.เขตปรับKและเกลี่ยเงินเพิ่มฯ'!$E$10:$AJ$104,13,FALSE)</f>
        <v>31549283.309999999</v>
      </c>
      <c r="H52" s="9">
        <f>VLOOKUP($D52,'4.เขตปรับKและเกลี่ยเงินเพิ่มฯ'!$E$10:$AJ$104,14,FALSE)</f>
        <v>6069446.6900000004</v>
      </c>
      <c r="I52" s="9">
        <f>VLOOKUP($D52,'4.เขตปรับKและเกลี่ยเงินเพิ่มฯ'!$E$10:$AJ$104,15,FALSE)+VLOOKUP($D52,'4.เขตปรับKและเกลี่ยเงินเพิ่มฯ'!$E$10:$AJ$104,16,FALSE)+VLOOKUP($D52,'4.เขตปรับKและเกลี่ยเงินเพิ่มฯ'!$E$10:$AJ$104,17,FALSE)</f>
        <v>14848374.33</v>
      </c>
      <c r="J52" s="9">
        <f>VLOOKUP($D52,'4.เขตปรับKและเกลี่ยเงินเพิ่มฯ'!$E$10:$AJ$104,18,FALSE)</f>
        <v>52467104.329999998</v>
      </c>
      <c r="K52" s="9">
        <f>VLOOKUP($D52,'4.เขตปรับKและเกลี่ยเงินเพิ่มฯ'!$E$10:$AJ$104,19,FALSE)</f>
        <v>20300153</v>
      </c>
      <c r="L52" s="9">
        <f>VLOOKUP($D52,'4.เขตปรับKและเกลี่ยเงินเพิ่มฯ'!$E$10:$AJ$104,20,FALSE)</f>
        <v>32166951.329999998</v>
      </c>
      <c r="M52" s="9">
        <f>VLOOKUP($D52,'4.เขตปรับKและเกลี่ยเงินเพิ่มฯ'!$E$10:$AJ$104,21,FALSE)</f>
        <v>0</v>
      </c>
      <c r="N52" s="9">
        <f>VLOOKUP($D52,'4.เขตปรับKและเกลี่ยเงินเพิ่มฯ'!$E$10:$AJ$104,22,FALSE)</f>
        <v>32166951.329999998</v>
      </c>
      <c r="O52" s="9">
        <f>VLOOKUP($D52,'4.เขตปรับKและเกลี่ยเงินเพิ่มฯ'!$E$10:$AJ$104,30,FALSE)</f>
        <v>0</v>
      </c>
      <c r="P52" s="9">
        <f>VLOOKUP($D52,'4.เขตปรับKและเกลี่ยเงินเพิ่มฯ'!$E$10:$AJ$104,32,FALSE)</f>
        <v>32166951.329999998</v>
      </c>
      <c r="Q52" s="9">
        <f>VLOOKUP($D52,'4.เขตปรับKและเกลี่ยเงินเพิ่มฯ'!$E$10:$AJ$104,26,FALSE)</f>
        <v>0</v>
      </c>
      <c r="R52" s="9">
        <f>VLOOKUP($D52,'4.เขตปรับKและเกลี่ยเงินเพิ่มฯ'!$E$10:$AJ$104,23,FALSE)</f>
        <v>29194127.82</v>
      </c>
    </row>
    <row r="53" spans="1:18" s="64" customFormat="1" ht="15" customHeight="1" outlineLevel="2">
      <c r="A53" s="67">
        <v>543</v>
      </c>
      <c r="B53" s="68" t="s">
        <v>26</v>
      </c>
      <c r="C53" s="68" t="s">
        <v>104</v>
      </c>
      <c r="D53" s="68" t="s">
        <v>125</v>
      </c>
      <c r="E53" s="68" t="s">
        <v>126</v>
      </c>
      <c r="F53" s="9">
        <f>VLOOKUP($D53,'4.เขตปรับKและเกลี่ยเงินเพิ่มฯ'!$E$10:$AJ$104,5,FALSE)</f>
        <v>1.25</v>
      </c>
      <c r="G53" s="9">
        <f>VLOOKUP($D53,'4.เขตปรับKและเกลี่ยเงินเพิ่มฯ'!$E$10:$AJ$104,13,FALSE)</f>
        <v>46350031.039999999</v>
      </c>
      <c r="H53" s="9">
        <f>VLOOKUP($D53,'4.เขตปรับKและเกลี่ยเงินเพิ่มฯ'!$E$10:$AJ$104,14,FALSE)</f>
        <v>8916812.4600000009</v>
      </c>
      <c r="I53" s="9">
        <f>VLOOKUP($D53,'4.เขตปรับKและเกลี่ยเงินเพิ่มฯ'!$E$10:$AJ$104,15,FALSE)+VLOOKUP($D53,'4.เขตปรับKและเกลี่ยเงินเพิ่มฯ'!$E$10:$AJ$104,16,FALSE)+VLOOKUP($D53,'4.เขตปรับKและเกลี่ยเงินเพิ่มฯ'!$E$10:$AJ$104,17,FALSE)</f>
        <v>17413817.82</v>
      </c>
      <c r="J53" s="9">
        <f>VLOOKUP($D53,'4.เขตปรับKและเกลี่ยเงินเพิ่มฯ'!$E$10:$AJ$104,18,FALSE)</f>
        <v>72680661.320000008</v>
      </c>
      <c r="K53" s="9">
        <f>VLOOKUP($D53,'4.เขตปรับKและเกลี่ยเงินเพิ่มฯ'!$E$10:$AJ$104,19,FALSE)</f>
        <v>23058058</v>
      </c>
      <c r="L53" s="9">
        <f>VLOOKUP($D53,'4.เขตปรับKและเกลี่ยเงินเพิ่มฯ'!$E$10:$AJ$104,20,FALSE)</f>
        <v>49622603.32</v>
      </c>
      <c r="M53" s="9">
        <f>VLOOKUP($D53,'4.เขตปรับKและเกลี่ยเงินเพิ่มฯ'!$E$10:$AJ$104,21,FALSE)</f>
        <v>0</v>
      </c>
      <c r="N53" s="9">
        <f>VLOOKUP($D53,'4.เขตปรับKและเกลี่ยเงินเพิ่มฯ'!$E$10:$AJ$104,22,FALSE)</f>
        <v>49622603.32</v>
      </c>
      <c r="O53" s="9">
        <f>VLOOKUP($D53,'4.เขตปรับKและเกลี่ยเงินเพิ่มฯ'!$E$10:$AJ$104,30,FALSE)</f>
        <v>0</v>
      </c>
      <c r="P53" s="9">
        <f>VLOOKUP($D53,'4.เขตปรับKและเกลี่ยเงินเพิ่มฯ'!$E$10:$AJ$104,32,FALSE)</f>
        <v>49622603.32</v>
      </c>
      <c r="Q53" s="9">
        <f>VLOOKUP($D53,'4.เขตปรับKและเกลี่ยเงินเพิ่มฯ'!$E$10:$AJ$104,26,FALSE)</f>
        <v>0</v>
      </c>
      <c r="R53" s="9">
        <f>VLOOKUP($D53,'4.เขตปรับKและเกลี่ยเงินเพิ่มฯ'!$E$10:$AJ$104,23,FALSE)</f>
        <v>45976899.130000003</v>
      </c>
    </row>
    <row r="54" spans="1:18" s="64" customFormat="1" ht="15" customHeight="1" outlineLevel="2">
      <c r="A54" s="67">
        <v>544</v>
      </c>
      <c r="B54" s="68" t="s">
        <v>26</v>
      </c>
      <c r="C54" s="68" t="s">
        <v>104</v>
      </c>
      <c r="D54" s="68" t="s">
        <v>127</v>
      </c>
      <c r="E54" s="68" t="s">
        <v>128</v>
      </c>
      <c r="F54" s="9">
        <f>VLOOKUP($D54,'4.เขตปรับKและเกลี่ยเงินเพิ่มฯ'!$E$10:$AJ$104,5,FALSE)</f>
        <v>1.2</v>
      </c>
      <c r="G54" s="9">
        <f>VLOOKUP($D54,'4.เขตปรับKและเกลี่ยเงินเพิ่มฯ'!$E$10:$AJ$104,13,FALSE)</f>
        <v>56478761.219999999</v>
      </c>
      <c r="H54" s="9">
        <f>VLOOKUP($D54,'4.เขตปรับKและเกลี่ยเงินเพิ่มฯ'!$E$10:$AJ$104,14,FALSE)</f>
        <v>10865376.15</v>
      </c>
      <c r="I54" s="9">
        <f>VLOOKUP($D54,'4.เขตปรับKและเกลี่ยเงินเพิ่มฯ'!$E$10:$AJ$104,15,FALSE)+VLOOKUP($D54,'4.เขตปรับKและเกลี่ยเงินเพิ่มฯ'!$E$10:$AJ$104,16,FALSE)+VLOOKUP($D54,'4.เขตปรับKและเกลี่ยเงินเพิ่มฯ'!$E$10:$AJ$104,17,FALSE)</f>
        <v>22113236.579999998</v>
      </c>
      <c r="J54" s="9">
        <f>VLOOKUP($D54,'4.เขตปรับKและเกลี่ยเงินเพิ่มฯ'!$E$10:$AJ$104,18,FALSE)</f>
        <v>89457373.950000003</v>
      </c>
      <c r="K54" s="9">
        <f>VLOOKUP($D54,'4.เขตปรับKและเกลี่ยเงินเพิ่มฯ'!$E$10:$AJ$104,19,FALSE)</f>
        <v>39061027</v>
      </c>
      <c r="L54" s="9">
        <f>VLOOKUP($D54,'4.เขตปรับKและเกลี่ยเงินเพิ่มฯ'!$E$10:$AJ$104,20,FALSE)</f>
        <v>50396346.950000003</v>
      </c>
      <c r="M54" s="9">
        <f>VLOOKUP($D54,'4.เขตปรับKและเกลี่ยเงินเพิ่มฯ'!$E$10:$AJ$104,21,FALSE)</f>
        <v>0</v>
      </c>
      <c r="N54" s="9">
        <f>VLOOKUP($D54,'4.เขตปรับKและเกลี่ยเงินเพิ่มฯ'!$E$10:$AJ$104,22,FALSE)</f>
        <v>50396346.950000003</v>
      </c>
      <c r="O54" s="9">
        <f>VLOOKUP($D54,'4.เขตปรับKและเกลี่ยเงินเพิ่มฯ'!$E$10:$AJ$104,30,FALSE)</f>
        <v>0</v>
      </c>
      <c r="P54" s="9">
        <f>VLOOKUP($D54,'4.เขตปรับKและเกลี่ยเงินเพิ่มฯ'!$E$10:$AJ$104,32,FALSE)</f>
        <v>50396346.950000003</v>
      </c>
      <c r="Q54" s="9">
        <f>VLOOKUP($D54,'4.เขตปรับKและเกลี่ยเงินเพิ่มฯ'!$E$10:$AJ$104,26,FALSE)</f>
        <v>0</v>
      </c>
      <c r="R54" s="9">
        <f>VLOOKUP($D54,'4.เขตปรับKและเกลี่ยเงินเพิ่มฯ'!$E$10:$AJ$104,23,FALSE)</f>
        <v>47681412.18</v>
      </c>
    </row>
    <row r="55" spans="1:18" s="64" customFormat="1" ht="15" customHeight="1" outlineLevel="2">
      <c r="A55" s="67">
        <v>545</v>
      </c>
      <c r="B55" s="68" t="s">
        <v>26</v>
      </c>
      <c r="C55" s="68" t="s">
        <v>104</v>
      </c>
      <c r="D55" s="68" t="s">
        <v>129</v>
      </c>
      <c r="E55" s="68" t="s">
        <v>130</v>
      </c>
      <c r="F55" s="9">
        <f>VLOOKUP($D55,'4.เขตปรับKและเกลี่ยเงินเพิ่มฯ'!$E$10:$AJ$104,5,FALSE)</f>
        <v>1.25</v>
      </c>
      <c r="G55" s="9">
        <f>VLOOKUP($D55,'4.เขตปรับKและเกลี่ยเงินเพิ่มฯ'!$E$10:$AJ$104,13,FALSE)</f>
        <v>45447905.259999998</v>
      </c>
      <c r="H55" s="9">
        <f>VLOOKUP($D55,'4.เขตปรับKและเกลี่ยเงินเพิ่มฯ'!$E$10:$AJ$104,14,FALSE)</f>
        <v>8743261.6300000008</v>
      </c>
      <c r="I55" s="9">
        <f>VLOOKUP($D55,'4.เขตปรับKและเกลี่ยเงินเพิ่มฯ'!$E$10:$AJ$104,15,FALSE)+VLOOKUP($D55,'4.เขตปรับKและเกลี่ยเงินเพิ่มฯ'!$E$10:$AJ$104,16,FALSE)+VLOOKUP($D55,'4.เขตปรับKและเกลี่ยเงินเพิ่มฯ'!$E$10:$AJ$104,17,FALSE)</f>
        <v>17207727.27</v>
      </c>
      <c r="J55" s="9">
        <f>VLOOKUP($D55,'4.เขตปรับKและเกลี่ยเงินเพิ่มฯ'!$E$10:$AJ$104,18,FALSE)</f>
        <v>71398894.159999996</v>
      </c>
      <c r="K55" s="9">
        <f>VLOOKUP($D55,'4.เขตปรับKและเกลี่ยเงินเพิ่มฯ'!$E$10:$AJ$104,19,FALSE)</f>
        <v>23223646</v>
      </c>
      <c r="L55" s="9">
        <f>VLOOKUP($D55,'4.เขตปรับKและเกลี่ยเงินเพิ่มฯ'!$E$10:$AJ$104,20,FALSE)</f>
        <v>48175248.159999996</v>
      </c>
      <c r="M55" s="9">
        <f>VLOOKUP($D55,'4.เขตปรับKและเกลี่ยเงินเพิ่มฯ'!$E$10:$AJ$104,21,FALSE)</f>
        <v>0</v>
      </c>
      <c r="N55" s="9">
        <f>VLOOKUP($D55,'4.เขตปรับKและเกลี่ยเงินเพิ่มฯ'!$E$10:$AJ$104,22,FALSE)</f>
        <v>48175248.159999996</v>
      </c>
      <c r="O55" s="9">
        <f>VLOOKUP($D55,'4.เขตปรับKและเกลี่ยเงินเพิ่มฯ'!$E$10:$AJ$104,30,FALSE)</f>
        <v>0</v>
      </c>
      <c r="P55" s="9">
        <f>VLOOKUP($D55,'4.เขตปรับKและเกลี่ยเงินเพิ่มฯ'!$E$10:$AJ$104,32,FALSE)</f>
        <v>48175248.159999996</v>
      </c>
      <c r="Q55" s="9">
        <f>VLOOKUP($D55,'4.เขตปรับKและเกลี่ยเงินเพิ่มฯ'!$E$10:$AJ$104,26,FALSE)</f>
        <v>0</v>
      </c>
      <c r="R55" s="9">
        <f>VLOOKUP($D55,'4.เขตปรับKและเกลี่ยเงินเพิ่มฯ'!$E$10:$AJ$104,23,FALSE)</f>
        <v>43026297.390000001</v>
      </c>
    </row>
    <row r="56" spans="1:18" s="64" customFormat="1" ht="15" customHeight="1" outlineLevel="2">
      <c r="A56" s="67">
        <v>546</v>
      </c>
      <c r="B56" s="68" t="s">
        <v>26</v>
      </c>
      <c r="C56" s="68" t="s">
        <v>104</v>
      </c>
      <c r="D56" s="68" t="s">
        <v>131</v>
      </c>
      <c r="E56" s="68" t="s">
        <v>132</v>
      </c>
      <c r="F56" s="9">
        <f>VLOOKUP($D56,'4.เขตปรับKและเกลี่ยเงินเพิ่มฯ'!$E$10:$AJ$104,5,FALSE)</f>
        <v>1.35</v>
      </c>
      <c r="G56" s="9">
        <f>VLOOKUP($D56,'4.เขตปรับKและเกลี่ยเงินเพิ่มฯ'!$E$10:$AJ$104,13,FALSE)</f>
        <v>31358380.010000002</v>
      </c>
      <c r="H56" s="9">
        <f>VLOOKUP($D56,'4.เขตปรับKและเกลี่ยเงินเพิ่มฯ'!$E$10:$AJ$104,14,FALSE)</f>
        <v>6032720.7400000002</v>
      </c>
      <c r="I56" s="9">
        <f>VLOOKUP($D56,'4.เขตปรับKและเกลี่ยเงินเพิ่มฯ'!$E$10:$AJ$104,15,FALSE)+VLOOKUP($D56,'4.เขตปรับKและเกลี่ยเงินเพิ่มฯ'!$E$10:$AJ$104,16,FALSE)+VLOOKUP($D56,'4.เขตปรับKและเกลี่ยเงินเพิ่มฯ'!$E$10:$AJ$104,17,FALSE)</f>
        <v>10168634.76</v>
      </c>
      <c r="J56" s="9">
        <f>VLOOKUP($D56,'4.เขตปรับKและเกลี่ยเงินเพิ่มฯ'!$E$10:$AJ$104,18,FALSE)</f>
        <v>47559735.509999998</v>
      </c>
      <c r="K56" s="9">
        <f>VLOOKUP($D56,'4.เขตปรับKและเกลี่ยเงินเพิ่มฯ'!$E$10:$AJ$104,19,FALSE)</f>
        <v>18781169</v>
      </c>
      <c r="L56" s="9">
        <f>VLOOKUP($D56,'4.เขตปรับKและเกลี่ยเงินเพิ่มฯ'!$E$10:$AJ$104,20,FALSE)</f>
        <v>28778566.510000002</v>
      </c>
      <c r="M56" s="9">
        <f>VLOOKUP($D56,'4.เขตปรับKและเกลี่ยเงินเพิ่มฯ'!$E$10:$AJ$104,21,FALSE)</f>
        <v>0</v>
      </c>
      <c r="N56" s="9">
        <f>VLOOKUP($D56,'4.เขตปรับKและเกลี่ยเงินเพิ่มฯ'!$E$10:$AJ$104,22,FALSE)</f>
        <v>28778566.510000002</v>
      </c>
      <c r="O56" s="9">
        <f>VLOOKUP($D56,'4.เขตปรับKและเกลี่ยเงินเพิ่มฯ'!$E$10:$AJ$104,30,FALSE)</f>
        <v>0</v>
      </c>
      <c r="P56" s="9">
        <f>VLOOKUP($D56,'4.เขตปรับKและเกลี่ยเงินเพิ่มฯ'!$E$10:$AJ$104,32,FALSE)</f>
        <v>28778566.510000002</v>
      </c>
      <c r="Q56" s="9">
        <f>VLOOKUP($D56,'4.เขตปรับKและเกลี่ยเงินเพิ่มฯ'!$E$10:$AJ$104,26,FALSE)</f>
        <v>0</v>
      </c>
      <c r="R56" s="9">
        <f>VLOOKUP($D56,'4.เขตปรับKและเกลี่ยเงินเพิ่มฯ'!$E$10:$AJ$104,23,FALSE)</f>
        <v>28762598.969999999</v>
      </c>
    </row>
    <row r="57" spans="1:18" s="64" customFormat="1" ht="15" customHeight="1" outlineLevel="1">
      <c r="A57" s="143"/>
      <c r="B57" s="144"/>
      <c r="C57" s="145" t="s">
        <v>282</v>
      </c>
      <c r="D57" s="144"/>
      <c r="E57" s="144"/>
      <c r="F57" s="190"/>
      <c r="G57" s="190">
        <f t="shared" ref="G57:R57" si="3">SUBTOTAL(9,G43:G56)</f>
        <v>669487983.55000007</v>
      </c>
      <c r="H57" s="190">
        <f t="shared" si="3"/>
        <v>128796004.24999999</v>
      </c>
      <c r="I57" s="190">
        <f t="shared" si="3"/>
        <v>581620503.64999986</v>
      </c>
      <c r="J57" s="190">
        <f t="shared" si="3"/>
        <v>1379904491.45</v>
      </c>
      <c r="K57" s="190">
        <f t="shared" si="3"/>
        <v>595884372</v>
      </c>
      <c r="L57" s="190">
        <f t="shared" si="3"/>
        <v>784020119.45000005</v>
      </c>
      <c r="M57" s="190">
        <f t="shared" si="3"/>
        <v>18466095.879999999</v>
      </c>
      <c r="N57" s="190">
        <f t="shared" si="3"/>
        <v>802486215.33000004</v>
      </c>
      <c r="O57" s="190">
        <f t="shared" si="3"/>
        <v>0</v>
      </c>
      <c r="P57" s="190">
        <f t="shared" si="3"/>
        <v>802486215.33000004</v>
      </c>
      <c r="Q57" s="190">
        <f t="shared" si="3"/>
        <v>0</v>
      </c>
      <c r="R57" s="190">
        <f t="shared" si="3"/>
        <v>763462653.02999997</v>
      </c>
    </row>
    <row r="58" spans="1:18" s="64" customFormat="1" ht="15" customHeight="1" outlineLevel="2">
      <c r="A58" s="67">
        <v>547</v>
      </c>
      <c r="B58" s="68" t="s">
        <v>26</v>
      </c>
      <c r="C58" s="68" t="s">
        <v>134</v>
      </c>
      <c r="D58" s="68" t="s">
        <v>135</v>
      </c>
      <c r="E58" s="68" t="s">
        <v>136</v>
      </c>
      <c r="F58" s="9">
        <f>VLOOKUP($D58,'4.เขตปรับKและเกลี่ยเงินเพิ่มฯ'!$E$10:$AJ$104,5,FALSE)</f>
        <v>1.1000000000000001</v>
      </c>
      <c r="G58" s="9">
        <f>VLOOKUP($D58,'4.เขตปรับKและเกลี่ยเงินเพิ่มฯ'!$E$10:$AJ$104,13,FALSE)</f>
        <v>116721242.40000001</v>
      </c>
      <c r="H58" s="9">
        <f>VLOOKUP($D58,'4.เขตปรับKและเกลี่ยเงินเพิ่มฯ'!$E$10:$AJ$104,14,FALSE)</f>
        <v>22695728.18</v>
      </c>
      <c r="I58" s="9">
        <f>VLOOKUP($D58,'4.เขตปรับKและเกลี่ยเงินเพิ่มฯ'!$E$10:$AJ$104,15,FALSE)+VLOOKUP($D58,'4.เขตปรับKและเกลี่ยเงินเพิ่มฯ'!$E$10:$AJ$104,16,FALSE)+VLOOKUP($D58,'4.เขตปรับKและเกลี่ยเงินเพิ่มฯ'!$E$10:$AJ$104,17,FALSE)</f>
        <v>208595944.56999999</v>
      </c>
      <c r="J58" s="9">
        <f>VLOOKUP($D58,'4.เขตปรับKและเกลี่ยเงินเพิ่มฯ'!$E$10:$AJ$104,18,FALSE)</f>
        <v>348012915.15000004</v>
      </c>
      <c r="K58" s="9">
        <f>VLOOKUP($D58,'4.เขตปรับKและเกลี่ยเงินเพิ่มฯ'!$E$10:$AJ$104,19,FALSE)</f>
        <v>208014576</v>
      </c>
      <c r="L58" s="9">
        <f>VLOOKUP($D58,'4.เขตปรับKและเกลี่ยเงินเพิ่มฯ'!$E$10:$AJ$104,20,FALSE)</f>
        <v>139998339.15000001</v>
      </c>
      <c r="M58" s="9">
        <f>VLOOKUP($D58,'4.เขตปรับKและเกลี่ยเงินเพิ่มฯ'!$E$10:$AJ$104,21,FALSE)</f>
        <v>305889.76</v>
      </c>
      <c r="N58" s="9">
        <f>VLOOKUP($D58,'4.เขตปรับKและเกลี่ยเงินเพิ่มฯ'!$E$10:$AJ$104,22,FALSE)</f>
        <v>140304228.91</v>
      </c>
      <c r="O58" s="9">
        <f>VLOOKUP($D58,'4.เขตปรับKและเกลี่ยเงินเพิ่มฯ'!$E$10:$AJ$104,30,FALSE)</f>
        <v>0</v>
      </c>
      <c r="P58" s="9">
        <f>VLOOKUP($D58,'4.เขตปรับKและเกลี่ยเงินเพิ่มฯ'!$E$10:$AJ$104,32,FALSE)</f>
        <v>140304228.91</v>
      </c>
      <c r="Q58" s="9">
        <f>VLOOKUP($D58,'4.เขตปรับKและเกลี่ยเงินเพิ่มฯ'!$E$10:$AJ$104,26,FALSE)</f>
        <v>0</v>
      </c>
      <c r="R58" s="9">
        <f>VLOOKUP($D58,'4.เขตปรับKและเกลี่ยเงินเพิ่มฯ'!$E$10:$AJ$104,23,FALSE)</f>
        <v>140304228.91</v>
      </c>
    </row>
    <row r="59" spans="1:18" s="64" customFormat="1" ht="15" customHeight="1" outlineLevel="2">
      <c r="A59" s="67">
        <v>548</v>
      </c>
      <c r="B59" s="68" t="s">
        <v>26</v>
      </c>
      <c r="C59" s="68" t="s">
        <v>134</v>
      </c>
      <c r="D59" s="68" t="s">
        <v>137</v>
      </c>
      <c r="E59" s="68" t="s">
        <v>138</v>
      </c>
      <c r="F59" s="9">
        <f>VLOOKUP($D59,'4.เขตปรับKและเกลี่ยเงินเพิ่มฯ'!$E$10:$AJ$104,5,FALSE)</f>
        <v>1.1499999999999999</v>
      </c>
      <c r="G59" s="9">
        <f>VLOOKUP($D59,'4.เขตปรับKและเกลี่ยเงินเพิ่มฯ'!$E$10:$AJ$104,13,FALSE)</f>
        <v>71470161.739999995</v>
      </c>
      <c r="H59" s="9">
        <f>VLOOKUP($D59,'4.เขตปรับKและเกลี่ยเงินเพิ่มฯ'!$E$10:$AJ$104,14,FALSE)</f>
        <v>13896933.67</v>
      </c>
      <c r="I59" s="9">
        <f>VLOOKUP($D59,'4.เขตปรับKและเกลี่ยเงินเพิ่มฯ'!$E$10:$AJ$104,15,FALSE)+VLOOKUP($D59,'4.เขตปรับKและเกลี่ยเงินเพิ่มฯ'!$E$10:$AJ$104,16,FALSE)+VLOOKUP($D59,'4.เขตปรับKและเกลี่ยเงินเพิ่มฯ'!$E$10:$AJ$104,17,FALSE)</f>
        <v>34378760.990000002</v>
      </c>
      <c r="J59" s="9">
        <f>VLOOKUP($D59,'4.เขตปรับKและเกลี่ยเงินเพิ่มฯ'!$E$10:$AJ$104,18,FALSE)</f>
        <v>119745856.39999999</v>
      </c>
      <c r="K59" s="9">
        <f>VLOOKUP($D59,'4.เขตปรับKและเกลี่ยเงินเพิ่มฯ'!$E$10:$AJ$104,19,FALSE)</f>
        <v>59216641</v>
      </c>
      <c r="L59" s="9">
        <f>VLOOKUP($D59,'4.เขตปรับKและเกลี่ยเงินเพิ่มฯ'!$E$10:$AJ$104,20,FALSE)</f>
        <v>60529215.399999999</v>
      </c>
      <c r="M59" s="9">
        <f>VLOOKUP($D59,'4.เขตปรับKและเกลี่ยเงินเพิ่มฯ'!$E$10:$AJ$104,21,FALSE)</f>
        <v>7456085.5599999996</v>
      </c>
      <c r="N59" s="9">
        <f>VLOOKUP($D59,'4.เขตปรับKและเกลี่ยเงินเพิ่มฯ'!$E$10:$AJ$104,22,FALSE)</f>
        <v>67985300.959999993</v>
      </c>
      <c r="O59" s="9">
        <f>VLOOKUP($D59,'4.เขตปรับKและเกลี่ยเงินเพิ่มฯ'!$E$10:$AJ$104,30,FALSE)</f>
        <v>0</v>
      </c>
      <c r="P59" s="9">
        <f>VLOOKUP($D59,'4.เขตปรับKและเกลี่ยเงินเพิ่มฯ'!$E$10:$AJ$104,32,FALSE)</f>
        <v>67985300.959999993</v>
      </c>
      <c r="Q59" s="9">
        <f>VLOOKUP($D59,'4.เขตปรับKและเกลี่ยเงินเพิ่มฯ'!$E$10:$AJ$104,26,FALSE)</f>
        <v>0</v>
      </c>
      <c r="R59" s="9">
        <f>VLOOKUP($D59,'4.เขตปรับKและเกลี่ยเงินเพิ่มฯ'!$E$10:$AJ$104,23,FALSE)</f>
        <v>67985300.959999993</v>
      </c>
    </row>
    <row r="60" spans="1:18" s="64" customFormat="1" ht="15" customHeight="1" outlineLevel="2">
      <c r="A60" s="67">
        <v>549</v>
      </c>
      <c r="B60" s="68" t="s">
        <v>26</v>
      </c>
      <c r="C60" s="68" t="s">
        <v>134</v>
      </c>
      <c r="D60" s="68" t="s">
        <v>139</v>
      </c>
      <c r="E60" s="68" t="s">
        <v>140</v>
      </c>
      <c r="F60" s="9">
        <f>VLOOKUP($D60,'4.เขตปรับKและเกลี่ยเงินเพิ่มฯ'!$E$10:$AJ$104,5,FALSE)</f>
        <v>1.3</v>
      </c>
      <c r="G60" s="9">
        <f>VLOOKUP($D60,'4.เขตปรับKและเกลี่ยเงินเพิ่มฯ'!$E$10:$AJ$104,13,FALSE)</f>
        <v>35431716.530000001</v>
      </c>
      <c r="H60" s="9">
        <f>VLOOKUP($D60,'4.เขตปรับKและเกลี่ยเงินเพิ่มฯ'!$E$10:$AJ$104,14,FALSE)</f>
        <v>6889479.5</v>
      </c>
      <c r="I60" s="9">
        <f>VLOOKUP($D60,'4.เขตปรับKและเกลี่ยเงินเพิ่มฯ'!$E$10:$AJ$104,15,FALSE)+VLOOKUP($D60,'4.เขตปรับKและเกลี่ยเงินเพิ่มฯ'!$E$10:$AJ$104,16,FALSE)+VLOOKUP($D60,'4.เขตปรับKและเกลี่ยเงินเพิ่มฯ'!$E$10:$AJ$104,17,FALSE)</f>
        <v>9788348.8099999987</v>
      </c>
      <c r="J60" s="9">
        <f>VLOOKUP($D60,'4.เขตปรับKและเกลี่ยเงินเพิ่มฯ'!$E$10:$AJ$104,18,FALSE)</f>
        <v>52109544.840000004</v>
      </c>
      <c r="K60" s="9">
        <f>VLOOKUP($D60,'4.เขตปรับKและเกลี่ยเงินเพิ่มฯ'!$E$10:$AJ$104,19,FALSE)</f>
        <v>27044830</v>
      </c>
      <c r="L60" s="9">
        <f>VLOOKUP($D60,'4.เขตปรับKและเกลี่ยเงินเพิ่มฯ'!$E$10:$AJ$104,20,FALSE)</f>
        <v>25064714.84</v>
      </c>
      <c r="M60" s="9">
        <f>VLOOKUP($D60,'4.เขตปรับKและเกลี่ยเงินเพิ่มฯ'!$E$10:$AJ$104,21,FALSE)</f>
        <v>0</v>
      </c>
      <c r="N60" s="9">
        <f>VLOOKUP($D60,'4.เขตปรับKและเกลี่ยเงินเพิ่มฯ'!$E$10:$AJ$104,22,FALSE)</f>
        <v>25064714.84</v>
      </c>
      <c r="O60" s="9">
        <f>VLOOKUP($D60,'4.เขตปรับKและเกลี่ยเงินเพิ่มฯ'!$E$10:$AJ$104,30,FALSE)</f>
        <v>0</v>
      </c>
      <c r="P60" s="9">
        <f>VLOOKUP($D60,'4.เขตปรับKและเกลี่ยเงินเพิ่มฯ'!$E$10:$AJ$104,32,FALSE)</f>
        <v>25064714.84</v>
      </c>
      <c r="Q60" s="9">
        <f>VLOOKUP($D60,'4.เขตปรับKและเกลี่ยเงินเพิ่มฯ'!$E$10:$AJ$104,26,FALSE)</f>
        <v>0</v>
      </c>
      <c r="R60" s="9">
        <f>VLOOKUP($D60,'4.เขตปรับKและเกลี่ยเงินเพิ่มฯ'!$E$10:$AJ$104,23,FALSE)</f>
        <v>23663704.07</v>
      </c>
    </row>
    <row r="61" spans="1:18" s="64" customFormat="1" ht="15" customHeight="1" outlineLevel="2">
      <c r="A61" s="67">
        <v>550</v>
      </c>
      <c r="B61" s="68" t="s">
        <v>26</v>
      </c>
      <c r="C61" s="68" t="s">
        <v>134</v>
      </c>
      <c r="D61" s="68" t="s">
        <v>141</v>
      </c>
      <c r="E61" s="68" t="s">
        <v>142</v>
      </c>
      <c r="F61" s="9">
        <f>VLOOKUP($D61,'4.เขตปรับKและเกลี่ยเงินเพิ่มฯ'!$E$10:$AJ$104,5,FALSE)</f>
        <v>1.3</v>
      </c>
      <c r="G61" s="9">
        <f>VLOOKUP($D61,'4.เขตปรับKและเกลี่ยเงินเพิ่มฯ'!$E$10:$AJ$104,13,FALSE)</f>
        <v>31505315.23</v>
      </c>
      <c r="H61" s="9">
        <f>VLOOKUP($D61,'4.เขตปรับKและเกลี่ยเงินเพิ่มฯ'!$E$10:$AJ$104,14,FALSE)</f>
        <v>6126014.9000000004</v>
      </c>
      <c r="I61" s="9">
        <f>VLOOKUP($D61,'4.เขตปรับKและเกลี่ยเงินเพิ่มฯ'!$E$10:$AJ$104,15,FALSE)+VLOOKUP($D61,'4.เขตปรับKและเกลี่ยเงินเพิ่มฯ'!$E$10:$AJ$104,16,FALSE)+VLOOKUP($D61,'4.เขตปรับKและเกลี่ยเงินเพิ่มฯ'!$E$10:$AJ$104,17,FALSE)</f>
        <v>14959927.299999999</v>
      </c>
      <c r="J61" s="9">
        <f>VLOOKUP($D61,'4.เขตปรับKและเกลี่ยเงินเพิ่มฯ'!$E$10:$AJ$104,18,FALSE)</f>
        <v>52591257.43</v>
      </c>
      <c r="K61" s="9">
        <f>VLOOKUP($D61,'4.เขตปรับKและเกลี่ยเงินเพิ่มฯ'!$E$10:$AJ$104,19,FALSE)</f>
        <v>21829206</v>
      </c>
      <c r="L61" s="9">
        <f>VLOOKUP($D61,'4.เขตปรับKและเกลี่ยเงินเพิ่มฯ'!$E$10:$AJ$104,20,FALSE)</f>
        <v>30762051.43</v>
      </c>
      <c r="M61" s="9">
        <f>VLOOKUP($D61,'4.เขตปรับKและเกลี่ยเงินเพิ่มฯ'!$E$10:$AJ$104,21,FALSE)</f>
        <v>0</v>
      </c>
      <c r="N61" s="9">
        <f>VLOOKUP($D61,'4.เขตปรับKและเกลี่ยเงินเพิ่มฯ'!$E$10:$AJ$104,22,FALSE)</f>
        <v>30762051.43</v>
      </c>
      <c r="O61" s="9">
        <f>VLOOKUP($D61,'4.เขตปรับKและเกลี่ยเงินเพิ่มฯ'!$E$10:$AJ$104,30,FALSE)</f>
        <v>0</v>
      </c>
      <c r="P61" s="9">
        <f>VLOOKUP($D61,'4.เขตปรับKและเกลี่ยเงินเพิ่มฯ'!$E$10:$AJ$104,32,FALSE)</f>
        <v>30762051.43</v>
      </c>
      <c r="Q61" s="9">
        <f>VLOOKUP($D61,'4.เขตปรับKและเกลี่ยเงินเพิ่มฯ'!$E$10:$AJ$104,26,FALSE)</f>
        <v>0</v>
      </c>
      <c r="R61" s="9">
        <f>VLOOKUP($D61,'4.เขตปรับKและเกลี่ยเงินเพิ่มฯ'!$E$10:$AJ$104,23,FALSE)</f>
        <v>29145258.460000001</v>
      </c>
    </row>
    <row r="62" spans="1:18" s="64" customFormat="1" ht="15" customHeight="1" outlineLevel="2">
      <c r="A62" s="67">
        <v>551</v>
      </c>
      <c r="B62" s="68" t="s">
        <v>26</v>
      </c>
      <c r="C62" s="68" t="s">
        <v>134</v>
      </c>
      <c r="D62" s="68" t="s">
        <v>143</v>
      </c>
      <c r="E62" s="68" t="s">
        <v>144</v>
      </c>
      <c r="F62" s="9">
        <f>VLOOKUP($D62,'4.เขตปรับKและเกลี่ยเงินเพิ่มฯ'!$E$10:$AJ$104,5,FALSE)</f>
        <v>1.1000000000000001</v>
      </c>
      <c r="G62" s="9">
        <f>VLOOKUP($D62,'4.เขตปรับKและเกลี่ยเงินเพิ่มฯ'!$E$10:$AJ$104,13,FALSE)</f>
        <v>75765995.349999994</v>
      </c>
      <c r="H62" s="9">
        <f>VLOOKUP($D62,'4.เขตปรับKและเกลี่ยเงินเพิ่มฯ'!$E$10:$AJ$104,14,FALSE)</f>
        <v>14732232.119999999</v>
      </c>
      <c r="I62" s="9">
        <f>VLOOKUP($D62,'4.เขตปรับKและเกลี่ยเงินเพิ่มฯ'!$E$10:$AJ$104,15,FALSE)+VLOOKUP($D62,'4.เขตปรับKและเกลี่ยเงินเพิ่มฯ'!$E$10:$AJ$104,16,FALSE)+VLOOKUP($D62,'4.เขตปรับKและเกลี่ยเงินเพิ่มฯ'!$E$10:$AJ$104,17,FALSE)</f>
        <v>124139805.00999999</v>
      </c>
      <c r="J62" s="9">
        <f>VLOOKUP($D62,'4.เขตปรับKและเกลี่ยเงินเพิ่มฯ'!$E$10:$AJ$104,18,FALSE)</f>
        <v>214638032.48000002</v>
      </c>
      <c r="K62" s="9">
        <f>VLOOKUP($D62,'4.เขตปรับKและเกลี่ยเงินเพิ่มฯ'!$E$10:$AJ$104,19,FALSE)</f>
        <v>101286529</v>
      </c>
      <c r="L62" s="9">
        <f>VLOOKUP($D62,'4.เขตปรับKและเกลี่ยเงินเพิ่มฯ'!$E$10:$AJ$104,20,FALSE)</f>
        <v>113351503.48</v>
      </c>
      <c r="M62" s="9">
        <f>VLOOKUP($D62,'4.เขตปรับKและเกลี่ยเงินเพิ่มฯ'!$E$10:$AJ$104,21,FALSE)</f>
        <v>15385742.85</v>
      </c>
      <c r="N62" s="9">
        <f>VLOOKUP($D62,'4.เขตปรับKและเกลี่ยเงินเพิ่มฯ'!$E$10:$AJ$104,22,FALSE)</f>
        <v>128737246.33</v>
      </c>
      <c r="O62" s="9">
        <f>VLOOKUP($D62,'4.เขตปรับKและเกลี่ยเงินเพิ่มฯ'!$E$10:$AJ$104,30,FALSE)</f>
        <v>0</v>
      </c>
      <c r="P62" s="9">
        <f>VLOOKUP($D62,'4.เขตปรับKและเกลี่ยเงินเพิ่มฯ'!$E$10:$AJ$104,32,FALSE)</f>
        <v>128737246.33</v>
      </c>
      <c r="Q62" s="9">
        <f>VLOOKUP($D62,'4.เขตปรับKและเกลี่ยเงินเพิ่มฯ'!$E$10:$AJ$104,26,FALSE)</f>
        <v>0</v>
      </c>
      <c r="R62" s="9">
        <f>VLOOKUP($D62,'4.เขตปรับKและเกลี่ยเงินเพิ่มฯ'!$E$10:$AJ$104,23,FALSE)</f>
        <v>128737246.33</v>
      </c>
    </row>
    <row r="63" spans="1:18" s="64" customFormat="1" ht="15" customHeight="1" outlineLevel="2">
      <c r="A63" s="67">
        <v>552</v>
      </c>
      <c r="B63" s="68" t="s">
        <v>26</v>
      </c>
      <c r="C63" s="68" t="s">
        <v>134</v>
      </c>
      <c r="D63" s="68" t="s">
        <v>145</v>
      </c>
      <c r="E63" s="68" t="s">
        <v>146</v>
      </c>
      <c r="F63" s="9">
        <f>VLOOKUP($D63,'4.เขตปรับKและเกลี่ยเงินเพิ่มฯ'!$E$10:$AJ$104,5,FALSE)</f>
        <v>1.3</v>
      </c>
      <c r="G63" s="9">
        <f>VLOOKUP($D63,'4.เขตปรับKและเกลี่ยเงินเพิ่มฯ'!$E$10:$AJ$104,13,FALSE)</f>
        <v>31275005.98</v>
      </c>
      <c r="H63" s="9">
        <f>VLOOKUP($D63,'4.เขตปรับKและเกลี่ยเงินเพิ่มฯ'!$E$10:$AJ$104,14,FALSE)</f>
        <v>6081232.6900000004</v>
      </c>
      <c r="I63" s="9">
        <f>VLOOKUP($D63,'4.เขตปรับKและเกลี่ยเงินเพิ่มฯ'!$E$10:$AJ$104,15,FALSE)+VLOOKUP($D63,'4.เขตปรับKและเกลี่ยเงินเพิ่มฯ'!$E$10:$AJ$104,16,FALSE)+VLOOKUP($D63,'4.เขตปรับKและเกลี่ยเงินเพิ่มฯ'!$E$10:$AJ$104,17,FALSE)</f>
        <v>7133981.7700000005</v>
      </c>
      <c r="J63" s="9">
        <f>VLOOKUP($D63,'4.เขตปรับKและเกลี่ยเงินเพิ่มฯ'!$E$10:$AJ$104,18,FALSE)</f>
        <v>44490220.440000005</v>
      </c>
      <c r="K63" s="9">
        <f>VLOOKUP($D63,'4.เขตปรับKและเกลี่ยเงินเพิ่มฯ'!$E$10:$AJ$104,19,FALSE)</f>
        <v>16595595</v>
      </c>
      <c r="L63" s="9">
        <f>VLOOKUP($D63,'4.เขตปรับKและเกลี่ยเงินเพิ่มฯ'!$E$10:$AJ$104,20,FALSE)</f>
        <v>27894625.440000001</v>
      </c>
      <c r="M63" s="9">
        <f>VLOOKUP($D63,'4.เขตปรับKและเกลี่ยเงินเพิ่มฯ'!$E$10:$AJ$104,21,FALSE)</f>
        <v>0</v>
      </c>
      <c r="N63" s="9">
        <f>VLOOKUP($D63,'4.เขตปรับKและเกลี่ยเงินเพิ่มฯ'!$E$10:$AJ$104,22,FALSE)</f>
        <v>27894625.440000001</v>
      </c>
      <c r="O63" s="9">
        <f>VLOOKUP($D63,'4.เขตปรับKและเกลี่ยเงินเพิ่มฯ'!$E$10:$AJ$104,30,FALSE)</f>
        <v>0</v>
      </c>
      <c r="P63" s="9">
        <f>VLOOKUP($D63,'4.เขตปรับKและเกลี่ยเงินเพิ่มฯ'!$E$10:$AJ$104,32,FALSE)</f>
        <v>27894625.440000001</v>
      </c>
      <c r="Q63" s="9">
        <f>VLOOKUP($D63,'4.เขตปรับKและเกลี่ยเงินเพิ่มฯ'!$E$10:$AJ$104,26,FALSE)</f>
        <v>0</v>
      </c>
      <c r="R63" s="9">
        <f>VLOOKUP($D63,'4.เขตปรับKและเกลี่ยเงินเพิ่มฯ'!$E$10:$AJ$104,23,FALSE)</f>
        <v>23142609.149999999</v>
      </c>
    </row>
    <row r="64" spans="1:18" s="64" customFormat="1" ht="15" customHeight="1" outlineLevel="2">
      <c r="A64" s="67">
        <v>553</v>
      </c>
      <c r="B64" s="68" t="s">
        <v>26</v>
      </c>
      <c r="C64" s="68" t="s">
        <v>134</v>
      </c>
      <c r="D64" s="68" t="s">
        <v>147</v>
      </c>
      <c r="E64" s="68" t="s">
        <v>148</v>
      </c>
      <c r="F64" s="9">
        <f>VLOOKUP($D64,'4.เขตปรับKและเกลี่ยเงินเพิ่มฯ'!$E$10:$AJ$104,5,FALSE)</f>
        <v>1.35</v>
      </c>
      <c r="G64" s="9">
        <f>VLOOKUP($D64,'4.เขตปรับKและเกลี่ยเงินเพิ่มฯ'!$E$10:$AJ$104,13,FALSE)</f>
        <v>19542677.629999999</v>
      </c>
      <c r="H64" s="9">
        <f>VLOOKUP($D64,'4.เขตปรับKและเกลี่ยเงินเพิ่มฯ'!$E$10:$AJ$104,14,FALSE)</f>
        <v>3799953.55</v>
      </c>
      <c r="I64" s="9">
        <f>VLOOKUP($D64,'4.เขตปรับKและเกลี่ยเงินเพิ่มฯ'!$E$10:$AJ$104,15,FALSE)+VLOOKUP($D64,'4.เขตปรับKและเกลี่ยเงินเพิ่มฯ'!$E$10:$AJ$104,16,FALSE)+VLOOKUP($D64,'4.เขตปรับKและเกลี่ยเงินเพิ่มฯ'!$E$10:$AJ$104,17,FALSE)</f>
        <v>7261736.0899999999</v>
      </c>
      <c r="J64" s="9">
        <f>VLOOKUP($D64,'4.เขตปรับKและเกลี่ยเงินเพิ่มฯ'!$E$10:$AJ$104,18,FALSE)</f>
        <v>30604367.27</v>
      </c>
      <c r="K64" s="9">
        <f>VLOOKUP($D64,'4.เขตปรับKและเกลี่ยเงินเพิ่มฯ'!$E$10:$AJ$104,19,FALSE)</f>
        <v>11433521</v>
      </c>
      <c r="L64" s="9">
        <f>VLOOKUP($D64,'4.เขตปรับKและเกลี่ยเงินเพิ่มฯ'!$E$10:$AJ$104,20,FALSE)</f>
        <v>19170846.27</v>
      </c>
      <c r="M64" s="9">
        <f>VLOOKUP($D64,'4.เขตปรับKและเกลี่ยเงินเพิ่มฯ'!$E$10:$AJ$104,21,FALSE)</f>
        <v>0</v>
      </c>
      <c r="N64" s="9">
        <f>VLOOKUP($D64,'4.เขตปรับKและเกลี่ยเงินเพิ่มฯ'!$E$10:$AJ$104,22,FALSE)</f>
        <v>19170846.27</v>
      </c>
      <c r="O64" s="9">
        <f>VLOOKUP($D64,'4.เขตปรับKและเกลี่ยเงินเพิ่มฯ'!$E$10:$AJ$104,30,FALSE)</f>
        <v>0</v>
      </c>
      <c r="P64" s="9">
        <f>VLOOKUP($D64,'4.เขตปรับKและเกลี่ยเงินเพิ่มฯ'!$E$10:$AJ$104,32,FALSE)</f>
        <v>19170846.27</v>
      </c>
      <c r="Q64" s="9">
        <f>VLOOKUP($D64,'4.เขตปรับKและเกลี่ยเงินเพิ่มฯ'!$E$10:$AJ$104,26,FALSE)</f>
        <v>0</v>
      </c>
      <c r="R64" s="9">
        <f>VLOOKUP($D64,'4.เขตปรับKและเกลี่ยเงินเพิ่มฯ'!$E$10:$AJ$104,23,FALSE)</f>
        <v>14052343.65</v>
      </c>
    </row>
    <row r="65" spans="1:18" s="64" customFormat="1" ht="15" customHeight="1" outlineLevel="2">
      <c r="A65" s="67">
        <v>554</v>
      </c>
      <c r="B65" s="68" t="s">
        <v>26</v>
      </c>
      <c r="C65" s="68" t="s">
        <v>134</v>
      </c>
      <c r="D65" s="68" t="s">
        <v>149</v>
      </c>
      <c r="E65" s="68" t="s">
        <v>150</v>
      </c>
      <c r="F65" s="9">
        <f>VLOOKUP($D65,'4.เขตปรับKและเกลี่ยเงินเพิ่มฯ'!$E$10:$AJ$104,5,FALSE)</f>
        <v>1.25</v>
      </c>
      <c r="G65" s="9">
        <f>VLOOKUP($D65,'4.เขตปรับKและเกลี่ยเงินเพิ่มฯ'!$E$10:$AJ$104,13,FALSE)</f>
        <v>50484778.840000004</v>
      </c>
      <c r="H65" s="9">
        <f>VLOOKUP($D65,'4.เขตปรับKและเกลี่ยเงินเพิ่มฯ'!$E$10:$AJ$104,14,FALSE)</f>
        <v>9816454.9499999993</v>
      </c>
      <c r="I65" s="9">
        <f>VLOOKUP($D65,'4.เขตปรับKและเกลี่ยเงินเพิ่มฯ'!$E$10:$AJ$104,15,FALSE)+VLOOKUP($D65,'4.เขตปรับKและเกลี่ยเงินเพิ่มฯ'!$E$10:$AJ$104,16,FALSE)+VLOOKUP($D65,'4.เขตปรับKและเกลี่ยเงินเพิ่มฯ'!$E$10:$AJ$104,17,FALSE)</f>
        <v>10810857.939999999</v>
      </c>
      <c r="J65" s="9">
        <f>VLOOKUP($D65,'4.เขตปรับKและเกลี่ยเงินเพิ่มฯ'!$E$10:$AJ$104,18,FALSE)</f>
        <v>71112091.730000004</v>
      </c>
      <c r="K65" s="9">
        <f>VLOOKUP($D65,'4.เขตปรับKและเกลี่ยเงินเพิ่มฯ'!$E$10:$AJ$104,19,FALSE)</f>
        <v>17775711</v>
      </c>
      <c r="L65" s="9">
        <f>VLOOKUP($D65,'4.เขตปรับKและเกลี่ยเงินเพิ่มฯ'!$E$10:$AJ$104,20,FALSE)</f>
        <v>53336380.729999997</v>
      </c>
      <c r="M65" s="9">
        <f>VLOOKUP($D65,'4.เขตปรับKและเกลี่ยเงินเพิ่มฯ'!$E$10:$AJ$104,21,FALSE)</f>
        <v>0</v>
      </c>
      <c r="N65" s="9">
        <f>VLOOKUP($D65,'4.เขตปรับKและเกลี่ยเงินเพิ่มฯ'!$E$10:$AJ$104,22,FALSE)</f>
        <v>53336380.729999997</v>
      </c>
      <c r="O65" s="9">
        <f>VLOOKUP($D65,'4.เขตปรับKและเกลี่ยเงินเพิ่มฯ'!$E$10:$AJ$104,30,FALSE)</f>
        <v>0</v>
      </c>
      <c r="P65" s="9">
        <f>VLOOKUP($D65,'4.เขตปรับKและเกลี่ยเงินเพิ่มฯ'!$E$10:$AJ$104,32,FALSE)</f>
        <v>53336380.729999997</v>
      </c>
      <c r="Q65" s="9">
        <f>VLOOKUP($D65,'4.เขตปรับKและเกลี่ยเงินเพิ่มฯ'!$E$10:$AJ$104,26,FALSE)</f>
        <v>0</v>
      </c>
      <c r="R65" s="9">
        <f>VLOOKUP($D65,'4.เขตปรับKและเกลี่ยเงินเพิ่มฯ'!$E$10:$AJ$104,23,FALSE)</f>
        <v>48271510.189999998</v>
      </c>
    </row>
    <row r="66" spans="1:18" s="64" customFormat="1" ht="15" customHeight="1" outlineLevel="2">
      <c r="A66" s="67">
        <v>555</v>
      </c>
      <c r="B66" s="68" t="s">
        <v>26</v>
      </c>
      <c r="C66" s="68" t="s">
        <v>134</v>
      </c>
      <c r="D66" s="68" t="s">
        <v>151</v>
      </c>
      <c r="E66" s="68" t="s">
        <v>152</v>
      </c>
      <c r="F66" s="9">
        <f>VLOOKUP($D66,'4.เขตปรับKและเกลี่ยเงินเพิ่มฯ'!$E$10:$AJ$104,5,FALSE)</f>
        <v>1.3</v>
      </c>
      <c r="G66" s="9">
        <f>VLOOKUP($D66,'4.เขตปรับKและเกลี่ยเงินเพิ่มฯ'!$E$10:$AJ$104,13,FALSE)</f>
        <v>42168881.289999999</v>
      </c>
      <c r="H66" s="9">
        <f>VLOOKUP($D66,'4.เขตปรับKและเกลี่ยเงินเพิ่มฯ'!$E$10:$AJ$104,14,FALSE)</f>
        <v>8199479.79</v>
      </c>
      <c r="I66" s="9">
        <f>VLOOKUP($D66,'4.เขตปรับKและเกลี่ยเงินเพิ่มฯ'!$E$10:$AJ$104,15,FALSE)+VLOOKUP($D66,'4.เขตปรับKและเกลี่ยเงินเพิ่มฯ'!$E$10:$AJ$104,16,FALSE)+VLOOKUP($D66,'4.เขตปรับKและเกลี่ยเงินเพิ่มฯ'!$E$10:$AJ$104,17,FALSE)</f>
        <v>7083046.5999999996</v>
      </c>
      <c r="J66" s="9">
        <f>VLOOKUP($D66,'4.เขตปรับKและเกลี่ยเงินเพิ่มฯ'!$E$10:$AJ$104,18,FALSE)</f>
        <v>57451407.68</v>
      </c>
      <c r="K66" s="9">
        <f>VLOOKUP($D66,'4.เขตปรับKและเกลี่ยเงินเพิ่มฯ'!$E$10:$AJ$104,19,FALSE)</f>
        <v>15437218</v>
      </c>
      <c r="L66" s="9">
        <f>VLOOKUP($D66,'4.เขตปรับKและเกลี่ยเงินเพิ่มฯ'!$E$10:$AJ$104,20,FALSE)</f>
        <v>42014189.68</v>
      </c>
      <c r="M66" s="9">
        <f>VLOOKUP($D66,'4.เขตปรับKและเกลี่ยเงินเพิ่มฯ'!$E$10:$AJ$104,21,FALSE)</f>
        <v>0</v>
      </c>
      <c r="N66" s="9">
        <f>VLOOKUP($D66,'4.เขตปรับKและเกลี่ยเงินเพิ่มฯ'!$E$10:$AJ$104,22,FALSE)</f>
        <v>42014189.68</v>
      </c>
      <c r="O66" s="9">
        <f>VLOOKUP($D66,'4.เขตปรับKและเกลี่ยเงินเพิ่มฯ'!$E$10:$AJ$104,30,FALSE)</f>
        <v>0</v>
      </c>
      <c r="P66" s="9">
        <f>VLOOKUP($D66,'4.เขตปรับKและเกลี่ยเงินเพิ่มฯ'!$E$10:$AJ$104,32,FALSE)</f>
        <v>42014189.68</v>
      </c>
      <c r="Q66" s="9">
        <f>VLOOKUP($D66,'4.เขตปรับKและเกลี่ยเงินเพิ่มฯ'!$E$10:$AJ$104,26,FALSE)</f>
        <v>0</v>
      </c>
      <c r="R66" s="9">
        <f>VLOOKUP($D66,'4.เขตปรับKและเกลี่ยเงินเพิ่มฯ'!$E$10:$AJ$104,23,FALSE)</f>
        <v>32168260.719999999</v>
      </c>
    </row>
    <row r="67" spans="1:18" s="64" customFormat="1" ht="15" customHeight="1" outlineLevel="1">
      <c r="A67" s="143"/>
      <c r="B67" s="144"/>
      <c r="C67" s="145" t="s">
        <v>283</v>
      </c>
      <c r="D67" s="144"/>
      <c r="E67" s="144"/>
      <c r="F67" s="190"/>
      <c r="G67" s="190">
        <f t="shared" ref="G67:R67" si="4">SUBTOTAL(9,G58:G66)</f>
        <v>474365774.99000007</v>
      </c>
      <c r="H67" s="190">
        <f t="shared" si="4"/>
        <v>92237509.350000009</v>
      </c>
      <c r="I67" s="190">
        <f t="shared" si="4"/>
        <v>424152409.07999998</v>
      </c>
      <c r="J67" s="190">
        <f t="shared" si="4"/>
        <v>990755693.41999996</v>
      </c>
      <c r="K67" s="190">
        <f t="shared" si="4"/>
        <v>478633827</v>
      </c>
      <c r="L67" s="190">
        <f t="shared" si="4"/>
        <v>512121866.42000002</v>
      </c>
      <c r="M67" s="190">
        <f t="shared" si="4"/>
        <v>23147718.169999998</v>
      </c>
      <c r="N67" s="190">
        <f t="shared" si="4"/>
        <v>535269584.59000003</v>
      </c>
      <c r="O67" s="190">
        <f t="shared" si="4"/>
        <v>0</v>
      </c>
      <c r="P67" s="190">
        <f t="shared" si="4"/>
        <v>535269584.59000003</v>
      </c>
      <c r="Q67" s="190">
        <f t="shared" si="4"/>
        <v>0</v>
      </c>
      <c r="R67" s="190">
        <f t="shared" si="4"/>
        <v>507470462.43999994</v>
      </c>
    </row>
    <row r="68" spans="1:18" s="64" customFormat="1" ht="15" customHeight="1" outlineLevel="2">
      <c r="A68" s="67">
        <v>556</v>
      </c>
      <c r="B68" s="68" t="s">
        <v>26</v>
      </c>
      <c r="C68" s="68" t="s">
        <v>154</v>
      </c>
      <c r="D68" s="68" t="s">
        <v>155</v>
      </c>
      <c r="E68" s="68" t="s">
        <v>156</v>
      </c>
      <c r="F68" s="9">
        <f>VLOOKUP($D68,'4.เขตปรับKและเกลี่ยเงินเพิ่มฯ'!$E$10:$AJ$104,5,FALSE)</f>
        <v>1.05</v>
      </c>
      <c r="G68" s="9">
        <f>VLOOKUP($D68,'4.เขตปรับKและเกลี่ยเงินเพิ่มฯ'!$E$10:$AJ$104,13,FALSE)</f>
        <v>134551833.24000001</v>
      </c>
      <c r="H68" s="9">
        <f>VLOOKUP($D68,'4.เขตปรับKและเกลี่ยเงินเพิ่มฯ'!$E$10:$AJ$104,14,FALSE)</f>
        <v>26944364.760000002</v>
      </c>
      <c r="I68" s="9">
        <f>VLOOKUP($D68,'4.เขตปรับKและเกลี่ยเงินเพิ่มฯ'!$E$10:$AJ$104,15,FALSE)+VLOOKUP($D68,'4.เขตปรับKและเกลี่ยเงินเพิ่มฯ'!$E$10:$AJ$104,16,FALSE)+VLOOKUP($D68,'4.เขตปรับKและเกลี่ยเงินเพิ่มฯ'!$E$10:$AJ$104,17,FALSE)</f>
        <v>526063159.61000001</v>
      </c>
      <c r="J68" s="9">
        <f>VLOOKUP($D68,'4.เขตปรับKและเกลี่ยเงินเพิ่มฯ'!$E$10:$AJ$104,18,FALSE)</f>
        <v>687559357.61000013</v>
      </c>
      <c r="K68" s="9">
        <f>VLOOKUP($D68,'4.เขตปรับKและเกลี่ยเงินเพิ่มฯ'!$E$10:$AJ$104,19,FALSE)</f>
        <v>323766736</v>
      </c>
      <c r="L68" s="9">
        <f>VLOOKUP($D68,'4.เขตปรับKและเกลี่ยเงินเพิ่มฯ'!$E$10:$AJ$104,20,FALSE)</f>
        <v>363792621.61000001</v>
      </c>
      <c r="M68" s="9">
        <f>VLOOKUP($D68,'4.เขตปรับKและเกลี่ยเงินเพิ่มฯ'!$E$10:$AJ$104,21,FALSE)</f>
        <v>0</v>
      </c>
      <c r="N68" s="9">
        <f>VLOOKUP($D68,'4.เขตปรับKและเกลี่ยเงินเพิ่มฯ'!$E$10:$AJ$104,22,FALSE)</f>
        <v>363792621.61000001</v>
      </c>
      <c r="O68" s="9">
        <f>VLOOKUP($D68,'4.เขตปรับKและเกลี่ยเงินเพิ่มฯ'!$E$10:$AJ$104,30,FALSE)</f>
        <v>0</v>
      </c>
      <c r="P68" s="9">
        <f>VLOOKUP($D68,'4.เขตปรับKและเกลี่ยเงินเพิ่มฯ'!$E$10:$AJ$104,32,FALSE)</f>
        <v>363792621.61000001</v>
      </c>
      <c r="Q68" s="9">
        <f>VLOOKUP($D68,'4.เขตปรับKและเกลี่ยเงินเพิ่มฯ'!$E$10:$AJ$104,26,FALSE)</f>
        <v>0</v>
      </c>
      <c r="R68" s="9">
        <f>VLOOKUP($D68,'4.เขตปรับKและเกลี่ยเงินเพิ่มฯ'!$E$10:$AJ$104,23,FALSE)</f>
        <v>335430338.27999997</v>
      </c>
    </row>
    <row r="69" spans="1:18" s="64" customFormat="1" ht="15" customHeight="1" outlineLevel="2">
      <c r="A69" s="67">
        <v>557</v>
      </c>
      <c r="B69" s="68" t="s">
        <v>26</v>
      </c>
      <c r="C69" s="68" t="s">
        <v>154</v>
      </c>
      <c r="D69" s="68" t="s">
        <v>157</v>
      </c>
      <c r="E69" s="68" t="s">
        <v>158</v>
      </c>
      <c r="F69" s="9">
        <f>VLOOKUP($D69,'4.เขตปรับKและเกลี่ยเงินเพิ่มฯ'!$E$10:$AJ$104,5,FALSE)</f>
        <v>1.25</v>
      </c>
      <c r="G69" s="9">
        <f>VLOOKUP($D69,'4.เขตปรับKและเกลี่ยเงินเพิ่มฯ'!$E$10:$AJ$104,13,FALSE)</f>
        <v>47802001.090000004</v>
      </c>
      <c r="H69" s="9">
        <f>VLOOKUP($D69,'4.เขตปรับKและเกลี่ยเงินเพิ่มฯ'!$E$10:$AJ$104,14,FALSE)</f>
        <v>9572478.6699999999</v>
      </c>
      <c r="I69" s="9">
        <f>VLOOKUP($D69,'4.เขตปรับKและเกลี่ยเงินเพิ่มฯ'!$E$10:$AJ$104,15,FALSE)+VLOOKUP($D69,'4.เขตปรับKและเกลี่ยเงินเพิ่มฯ'!$E$10:$AJ$104,16,FALSE)+VLOOKUP($D69,'4.เขตปรับKและเกลี่ยเงินเพิ่มฯ'!$E$10:$AJ$104,17,FALSE)</f>
        <v>16212779.189999999</v>
      </c>
      <c r="J69" s="9">
        <f>VLOOKUP($D69,'4.เขตปรับKและเกลี่ยเงินเพิ่มฯ'!$E$10:$AJ$104,18,FALSE)</f>
        <v>73587258.950000003</v>
      </c>
      <c r="K69" s="9">
        <f>VLOOKUP($D69,'4.เขตปรับKและเกลี่ยเงินเพิ่มฯ'!$E$10:$AJ$104,19,FALSE)</f>
        <v>25518937</v>
      </c>
      <c r="L69" s="9">
        <f>VLOOKUP($D69,'4.เขตปรับKและเกลี่ยเงินเพิ่มฯ'!$E$10:$AJ$104,20,FALSE)</f>
        <v>48068321.950000003</v>
      </c>
      <c r="M69" s="9">
        <f>VLOOKUP($D69,'4.เขตปรับKและเกลี่ยเงินเพิ่มฯ'!$E$10:$AJ$104,21,FALSE)</f>
        <v>0</v>
      </c>
      <c r="N69" s="9">
        <f>VLOOKUP($D69,'4.เขตปรับKและเกลี่ยเงินเพิ่มฯ'!$E$10:$AJ$104,22,FALSE)</f>
        <v>48068321.950000003</v>
      </c>
      <c r="O69" s="9">
        <f>VLOOKUP($D69,'4.เขตปรับKและเกลี่ยเงินเพิ่มฯ'!$E$10:$AJ$104,30,FALSE)</f>
        <v>0</v>
      </c>
      <c r="P69" s="9">
        <f>VLOOKUP($D69,'4.เขตปรับKและเกลี่ยเงินเพิ่มฯ'!$E$10:$AJ$104,32,FALSE)</f>
        <v>48068321.950000003</v>
      </c>
      <c r="Q69" s="9">
        <f>VLOOKUP($D69,'4.เขตปรับKและเกลี่ยเงินเพิ่มฯ'!$E$10:$AJ$104,26,FALSE)</f>
        <v>0</v>
      </c>
      <c r="R69" s="9">
        <f>VLOOKUP($D69,'4.เขตปรับKและเกลี่ยเงินเพิ่มฯ'!$E$10:$AJ$104,23,FALSE)</f>
        <v>40614513.039999999</v>
      </c>
    </row>
    <row r="70" spans="1:18" s="64" customFormat="1" ht="15" customHeight="1" outlineLevel="2">
      <c r="A70" s="67">
        <v>558</v>
      </c>
      <c r="B70" s="68" t="s">
        <v>26</v>
      </c>
      <c r="C70" s="68" t="s">
        <v>154</v>
      </c>
      <c r="D70" s="68" t="s">
        <v>159</v>
      </c>
      <c r="E70" s="68" t="s">
        <v>160</v>
      </c>
      <c r="F70" s="9">
        <f>VLOOKUP($D70,'4.เขตปรับKและเกลี่ยเงินเพิ่มฯ'!$E$10:$AJ$104,5,FALSE)</f>
        <v>1.3</v>
      </c>
      <c r="G70" s="9">
        <f>VLOOKUP($D70,'4.เขตปรับKและเกลี่ยเงินเพิ่มฯ'!$E$10:$AJ$104,13,FALSE)</f>
        <v>34654338.850000001</v>
      </c>
      <c r="H70" s="9">
        <f>VLOOKUP($D70,'4.เขตปรับKและเกลี่ยเงินเพิ่มฯ'!$E$10:$AJ$104,14,FALSE)</f>
        <v>6939624.1200000001</v>
      </c>
      <c r="I70" s="9">
        <f>VLOOKUP($D70,'4.เขตปรับKและเกลี่ยเงินเพิ่มฯ'!$E$10:$AJ$104,15,FALSE)+VLOOKUP($D70,'4.เขตปรับKและเกลี่ยเงินเพิ่มฯ'!$E$10:$AJ$104,16,FALSE)+VLOOKUP($D70,'4.เขตปรับKและเกลี่ยเงินเพิ่มฯ'!$E$10:$AJ$104,17,FALSE)</f>
        <v>12742972.220000001</v>
      </c>
      <c r="J70" s="9">
        <f>VLOOKUP($D70,'4.เขตปรับKและเกลี่ยเงินเพิ่มฯ'!$E$10:$AJ$104,18,FALSE)</f>
        <v>54336935.189999998</v>
      </c>
      <c r="K70" s="9">
        <f>VLOOKUP($D70,'4.เขตปรับKและเกลี่ยเงินเพิ่มฯ'!$E$10:$AJ$104,19,FALSE)</f>
        <v>23543178</v>
      </c>
      <c r="L70" s="9">
        <f>VLOOKUP($D70,'4.เขตปรับKและเกลี่ยเงินเพิ่มฯ'!$E$10:$AJ$104,20,FALSE)</f>
        <v>30793757.190000001</v>
      </c>
      <c r="M70" s="9">
        <f>VLOOKUP($D70,'4.เขตปรับKและเกลี่ยเงินเพิ่มฯ'!$E$10:$AJ$104,21,FALSE)</f>
        <v>0</v>
      </c>
      <c r="N70" s="9">
        <f>VLOOKUP($D70,'4.เขตปรับKและเกลี่ยเงินเพิ่มฯ'!$E$10:$AJ$104,22,FALSE)</f>
        <v>30793757.190000001</v>
      </c>
      <c r="O70" s="9">
        <f>VLOOKUP($D70,'4.เขตปรับKและเกลี่ยเงินเพิ่มฯ'!$E$10:$AJ$104,30,FALSE)</f>
        <v>0</v>
      </c>
      <c r="P70" s="9">
        <f>VLOOKUP($D70,'4.เขตปรับKและเกลี่ยเงินเพิ่มฯ'!$E$10:$AJ$104,32,FALSE)</f>
        <v>30793757.190000001</v>
      </c>
      <c r="Q70" s="9">
        <f>VLOOKUP($D70,'4.เขตปรับKและเกลี่ยเงินเพิ่มฯ'!$E$10:$AJ$104,26,FALSE)</f>
        <v>0</v>
      </c>
      <c r="R70" s="9">
        <f>VLOOKUP($D70,'4.เขตปรับKและเกลี่ยเงินเพิ่มฯ'!$E$10:$AJ$104,23,FALSE)</f>
        <v>27603016.539999999</v>
      </c>
    </row>
    <row r="71" spans="1:18" s="64" customFormat="1" ht="15" customHeight="1" outlineLevel="2">
      <c r="A71" s="67">
        <v>559</v>
      </c>
      <c r="B71" s="68" t="s">
        <v>26</v>
      </c>
      <c r="C71" s="68" t="s">
        <v>154</v>
      </c>
      <c r="D71" s="68" t="s">
        <v>161</v>
      </c>
      <c r="E71" s="68" t="s">
        <v>162</v>
      </c>
      <c r="F71" s="9">
        <f>VLOOKUP($D71,'4.เขตปรับKและเกลี่ยเงินเพิ่มฯ'!$E$10:$AJ$104,5,FALSE)</f>
        <v>1.1499999999999999</v>
      </c>
      <c r="G71" s="9">
        <f>VLOOKUP($D71,'4.เขตปรับKและเกลี่ยเงินเพิ่มฯ'!$E$10:$AJ$104,13,FALSE)</f>
        <v>66009116.07</v>
      </c>
      <c r="H71" s="9">
        <f>VLOOKUP($D71,'4.เขตปรับKและเกลี่ยเงินเพิ่มฯ'!$E$10:$AJ$104,14,FALSE)</f>
        <v>13218502.18</v>
      </c>
      <c r="I71" s="9">
        <f>VLOOKUP($D71,'4.เขตปรับKและเกลี่ยเงินเพิ่มฯ'!$E$10:$AJ$104,15,FALSE)+VLOOKUP($D71,'4.เขตปรับKและเกลี่ยเงินเพิ่มฯ'!$E$10:$AJ$104,16,FALSE)+VLOOKUP($D71,'4.เขตปรับKและเกลี่ยเงินเพิ่มฯ'!$E$10:$AJ$104,17,FALSE)</f>
        <v>28667946.129999999</v>
      </c>
      <c r="J71" s="9">
        <f>VLOOKUP($D71,'4.เขตปรับKและเกลี่ยเงินเพิ่มฯ'!$E$10:$AJ$104,18,FALSE)</f>
        <v>107895564.38</v>
      </c>
      <c r="K71" s="9">
        <f>VLOOKUP($D71,'4.เขตปรับKและเกลี่ยเงินเพิ่มฯ'!$E$10:$AJ$104,19,FALSE)</f>
        <v>53332333</v>
      </c>
      <c r="L71" s="9">
        <f>VLOOKUP($D71,'4.เขตปรับKและเกลี่ยเงินเพิ่มฯ'!$E$10:$AJ$104,20,FALSE)</f>
        <v>54563231.380000003</v>
      </c>
      <c r="M71" s="9">
        <f>VLOOKUP($D71,'4.เขตปรับKและเกลี่ยเงินเพิ่มฯ'!$E$10:$AJ$104,21,FALSE)</f>
        <v>0</v>
      </c>
      <c r="N71" s="9">
        <f>VLOOKUP($D71,'4.เขตปรับKและเกลี่ยเงินเพิ่มฯ'!$E$10:$AJ$104,22,FALSE)</f>
        <v>54563231.380000003</v>
      </c>
      <c r="O71" s="9">
        <f>VLOOKUP($D71,'4.เขตปรับKและเกลี่ยเงินเพิ่มฯ'!$E$10:$AJ$104,30,FALSE)</f>
        <v>0</v>
      </c>
      <c r="P71" s="9">
        <f>VLOOKUP($D71,'4.เขตปรับKและเกลี่ยเงินเพิ่มฯ'!$E$10:$AJ$104,32,FALSE)</f>
        <v>54563231.380000003</v>
      </c>
      <c r="Q71" s="9">
        <f>VLOOKUP($D71,'4.เขตปรับKและเกลี่ยเงินเพิ่มฯ'!$E$10:$AJ$104,26,FALSE)</f>
        <v>0</v>
      </c>
      <c r="R71" s="9">
        <f>VLOOKUP($D71,'4.เขตปรับKและเกลี่ยเงินเพิ่มฯ'!$E$10:$AJ$104,23,FALSE)</f>
        <v>49008175.850000001</v>
      </c>
    </row>
    <row r="72" spans="1:18" s="64" customFormat="1" ht="15" customHeight="1" outlineLevel="2">
      <c r="A72" s="67">
        <v>560</v>
      </c>
      <c r="B72" s="68" t="s">
        <v>26</v>
      </c>
      <c r="C72" s="68" t="s">
        <v>154</v>
      </c>
      <c r="D72" s="68" t="s">
        <v>163</v>
      </c>
      <c r="E72" s="68" t="s">
        <v>164</v>
      </c>
      <c r="F72" s="9">
        <f>VLOOKUP($D72,'4.เขตปรับKและเกลี่ยเงินเพิ่มฯ'!$E$10:$AJ$104,5,FALSE)</f>
        <v>1.1499999999999999</v>
      </c>
      <c r="G72" s="9">
        <f>VLOOKUP($D72,'4.เขตปรับKและเกลี่ยเงินเพิ่มฯ'!$E$10:$AJ$104,13,FALSE)</f>
        <v>51457356.060000002</v>
      </c>
      <c r="H72" s="9">
        <f>VLOOKUP($D72,'4.เขตปรับKและเกลี่ยเงินเพิ่มฯ'!$E$10:$AJ$104,14,FALSE)</f>
        <v>10304473.289999999</v>
      </c>
      <c r="I72" s="9">
        <f>VLOOKUP($D72,'4.เขตปรับKและเกลี่ยเงินเพิ่มฯ'!$E$10:$AJ$104,15,FALSE)+VLOOKUP($D72,'4.เขตปรับKและเกลี่ยเงินเพิ่มฯ'!$E$10:$AJ$104,16,FALSE)+VLOOKUP($D72,'4.เขตปรับKและเกลี่ยเงินเพิ่มฯ'!$E$10:$AJ$104,17,FALSE)</f>
        <v>33483380.669999998</v>
      </c>
      <c r="J72" s="9">
        <f>VLOOKUP($D72,'4.เขตปรับKและเกลี่ยเงินเพิ่มฯ'!$E$10:$AJ$104,18,FALSE)</f>
        <v>95245210.019999996</v>
      </c>
      <c r="K72" s="9">
        <f>VLOOKUP($D72,'4.เขตปรับKและเกลี่ยเงินเพิ่มฯ'!$E$10:$AJ$104,19,FALSE)</f>
        <v>49432336</v>
      </c>
      <c r="L72" s="9">
        <f>VLOOKUP($D72,'4.เขตปรับKและเกลี่ยเงินเพิ่มฯ'!$E$10:$AJ$104,20,FALSE)</f>
        <v>45812874.020000003</v>
      </c>
      <c r="M72" s="9">
        <f>VLOOKUP($D72,'4.เขตปรับKและเกลี่ยเงินเพิ่มฯ'!$E$10:$AJ$104,21,FALSE)</f>
        <v>0</v>
      </c>
      <c r="N72" s="9">
        <f>VLOOKUP($D72,'4.เขตปรับKและเกลี่ยเงินเพิ่มฯ'!$E$10:$AJ$104,22,FALSE)</f>
        <v>45812874.020000003</v>
      </c>
      <c r="O72" s="9">
        <f>VLOOKUP($D72,'4.เขตปรับKและเกลี่ยเงินเพิ่มฯ'!$E$10:$AJ$104,30,FALSE)</f>
        <v>0</v>
      </c>
      <c r="P72" s="9">
        <f>VLOOKUP($D72,'4.เขตปรับKและเกลี่ยเงินเพิ่มฯ'!$E$10:$AJ$104,32,FALSE)</f>
        <v>45812874.020000003</v>
      </c>
      <c r="Q72" s="9">
        <f>VLOOKUP($D72,'4.เขตปรับKและเกลี่ยเงินเพิ่มฯ'!$E$10:$AJ$104,26,FALSE)</f>
        <v>0</v>
      </c>
      <c r="R72" s="9">
        <f>VLOOKUP($D72,'4.เขตปรับKและเกลี่ยเงินเพิ่มฯ'!$E$10:$AJ$104,23,FALSE)</f>
        <v>39807852.299999997</v>
      </c>
    </row>
    <row r="73" spans="1:18" s="64" customFormat="1" ht="15" customHeight="1" outlineLevel="2">
      <c r="A73" s="67">
        <v>561</v>
      </c>
      <c r="B73" s="68" t="s">
        <v>26</v>
      </c>
      <c r="C73" s="68" t="s">
        <v>154</v>
      </c>
      <c r="D73" s="68" t="s">
        <v>165</v>
      </c>
      <c r="E73" s="68" t="s">
        <v>166</v>
      </c>
      <c r="F73" s="9">
        <f>VLOOKUP($D73,'4.เขตปรับKและเกลี่ยเงินเพิ่มฯ'!$E$10:$AJ$104,5,FALSE)</f>
        <v>1.25</v>
      </c>
      <c r="G73" s="9">
        <f>VLOOKUP($D73,'4.เขตปรับKและเกลี่ยเงินเพิ่มฯ'!$E$10:$AJ$104,13,FALSE)</f>
        <v>49227558.869999997</v>
      </c>
      <c r="H73" s="9">
        <f>VLOOKUP($D73,'4.เขตปรับKและเกลี่ยเงินเพิ่มฯ'!$E$10:$AJ$104,14,FALSE)</f>
        <v>9857950.4399999995</v>
      </c>
      <c r="I73" s="9">
        <f>VLOOKUP($D73,'4.เขตปรับKและเกลี่ยเงินเพิ่มฯ'!$E$10:$AJ$104,15,FALSE)+VLOOKUP($D73,'4.เขตปรับKและเกลี่ยเงินเพิ่มฯ'!$E$10:$AJ$104,16,FALSE)+VLOOKUP($D73,'4.เขตปรับKและเกลี่ยเงินเพิ่มฯ'!$E$10:$AJ$104,17,FALSE)</f>
        <v>11751976.130000001</v>
      </c>
      <c r="J73" s="9">
        <f>VLOOKUP($D73,'4.เขตปรับKและเกลี่ยเงินเพิ่มฯ'!$E$10:$AJ$104,18,FALSE)</f>
        <v>70837485.439999998</v>
      </c>
      <c r="K73" s="9">
        <f>VLOOKUP($D73,'4.เขตปรับKและเกลี่ยเงินเพิ่มฯ'!$E$10:$AJ$104,19,FALSE)</f>
        <v>29896276</v>
      </c>
      <c r="L73" s="9">
        <f>VLOOKUP($D73,'4.เขตปรับKและเกลี่ยเงินเพิ่มฯ'!$E$10:$AJ$104,20,FALSE)</f>
        <v>40941209.439999998</v>
      </c>
      <c r="M73" s="9">
        <f>VLOOKUP($D73,'4.เขตปรับKและเกลี่ยเงินเพิ่มฯ'!$E$10:$AJ$104,21,FALSE)</f>
        <v>0</v>
      </c>
      <c r="N73" s="9">
        <f>VLOOKUP($D73,'4.เขตปรับKและเกลี่ยเงินเพิ่มฯ'!$E$10:$AJ$104,22,FALSE)</f>
        <v>40941209.439999998</v>
      </c>
      <c r="O73" s="9">
        <f>VLOOKUP($D73,'4.เขตปรับKและเกลี่ยเงินเพิ่มฯ'!$E$10:$AJ$104,30,FALSE)</f>
        <v>0</v>
      </c>
      <c r="P73" s="9">
        <f>VLOOKUP($D73,'4.เขตปรับKและเกลี่ยเงินเพิ่มฯ'!$E$10:$AJ$104,32,FALSE)</f>
        <v>40941209.439999998</v>
      </c>
      <c r="Q73" s="9">
        <f>VLOOKUP($D73,'4.เขตปรับKและเกลี่ยเงินเพิ่มฯ'!$E$10:$AJ$104,26,FALSE)</f>
        <v>0</v>
      </c>
      <c r="R73" s="9">
        <f>VLOOKUP($D73,'4.เขตปรับKและเกลี่ยเงินเพิ่มฯ'!$E$10:$AJ$104,23,FALSE)</f>
        <v>36254253.359999999</v>
      </c>
    </row>
    <row r="74" spans="1:18" s="64" customFormat="1" ht="15" customHeight="1" outlineLevel="2">
      <c r="A74" s="67">
        <v>562</v>
      </c>
      <c r="B74" s="68" t="s">
        <v>26</v>
      </c>
      <c r="C74" s="68" t="s">
        <v>154</v>
      </c>
      <c r="D74" s="68" t="s">
        <v>167</v>
      </c>
      <c r="E74" s="68" t="s">
        <v>168</v>
      </c>
      <c r="F74" s="9">
        <f>VLOOKUP($D74,'4.เขตปรับKและเกลี่ยเงินเพิ่มฯ'!$E$10:$AJ$104,5,FALSE)</f>
        <v>1.35</v>
      </c>
      <c r="G74" s="9">
        <f>VLOOKUP($D74,'4.เขตปรับKและเกลี่ยเงินเพิ่มฯ'!$E$10:$AJ$104,13,FALSE)</f>
        <v>17034478.739999998</v>
      </c>
      <c r="H74" s="9">
        <f>VLOOKUP($D74,'4.เขตปรับKและเกลี่ยเงินเพิ่มฯ'!$E$10:$AJ$104,14,FALSE)</f>
        <v>3411199.96</v>
      </c>
      <c r="I74" s="9">
        <f>VLOOKUP($D74,'4.เขตปรับKและเกลี่ยเงินเพิ่มฯ'!$E$10:$AJ$104,15,FALSE)+VLOOKUP($D74,'4.เขตปรับKและเกลี่ยเงินเพิ่มฯ'!$E$10:$AJ$104,16,FALSE)+VLOOKUP($D74,'4.เขตปรับKและเกลี่ยเงินเพิ่มฯ'!$E$10:$AJ$104,17,FALSE)</f>
        <v>4017504.65</v>
      </c>
      <c r="J74" s="9">
        <f>VLOOKUP($D74,'4.เขตปรับKและเกลี่ยเงินเพิ่มฯ'!$E$10:$AJ$104,18,FALSE)</f>
        <v>24463183.349999998</v>
      </c>
      <c r="K74" s="9">
        <f>VLOOKUP($D74,'4.เขตปรับKและเกลี่ยเงินเพิ่มฯ'!$E$10:$AJ$104,19,FALSE)</f>
        <v>15240143</v>
      </c>
      <c r="L74" s="9">
        <f>VLOOKUP($D74,'4.เขตปรับKและเกลี่ยเงินเพิ่มฯ'!$E$10:$AJ$104,20,FALSE)</f>
        <v>9223040.3499999996</v>
      </c>
      <c r="M74" s="9">
        <f>VLOOKUP($D74,'4.เขตปรับKและเกลี่ยเงินเพิ่มฯ'!$E$10:$AJ$104,21,FALSE)</f>
        <v>4555016.3</v>
      </c>
      <c r="N74" s="9">
        <f>VLOOKUP($D74,'4.เขตปรับKและเกลี่ยเงินเพิ่มฯ'!$E$10:$AJ$104,22,FALSE)</f>
        <v>13778056.65</v>
      </c>
      <c r="O74" s="9">
        <f>VLOOKUP($D74,'4.เขตปรับKและเกลี่ยเงินเพิ่มฯ'!$E$10:$AJ$104,30,FALSE)</f>
        <v>0</v>
      </c>
      <c r="P74" s="9">
        <f>VLOOKUP($D74,'4.เขตปรับKและเกลี่ยเงินเพิ่มฯ'!$E$10:$AJ$104,32,FALSE)</f>
        <v>13778056.65</v>
      </c>
      <c r="Q74" s="9">
        <f>VLOOKUP($D74,'4.เขตปรับKและเกลี่ยเงินเพิ่มฯ'!$E$10:$AJ$104,26,FALSE)</f>
        <v>0</v>
      </c>
      <c r="R74" s="9">
        <f>VLOOKUP($D74,'4.เขตปรับKและเกลี่ยเงินเพิ่มฯ'!$E$10:$AJ$104,23,FALSE)</f>
        <v>13778056.65</v>
      </c>
    </row>
    <row r="75" spans="1:18" s="64" customFormat="1" ht="15" customHeight="1" outlineLevel="2">
      <c r="A75" s="67">
        <v>563</v>
      </c>
      <c r="B75" s="68" t="s">
        <v>26</v>
      </c>
      <c r="C75" s="68" t="s">
        <v>154</v>
      </c>
      <c r="D75" s="68" t="s">
        <v>169</v>
      </c>
      <c r="E75" s="68" t="s">
        <v>170</v>
      </c>
      <c r="F75" s="9">
        <f>VLOOKUP($D75,'4.เขตปรับKและเกลี่ยเงินเพิ่มฯ'!$E$10:$AJ$104,5,FALSE)</f>
        <v>1.1499999999999999</v>
      </c>
      <c r="G75" s="9">
        <f>VLOOKUP($D75,'4.เขตปรับKและเกลี่ยเงินเพิ่มฯ'!$E$10:$AJ$104,13,FALSE)</f>
        <v>96035671.980000004</v>
      </c>
      <c r="H75" s="9">
        <f>VLOOKUP($D75,'4.เขตปรับKและเกลี่ยเงินเพิ่มฯ'!$E$10:$AJ$104,14,FALSE)</f>
        <v>19231400.370000001</v>
      </c>
      <c r="I75" s="9">
        <f>VLOOKUP($D75,'4.เขตปรับKและเกลี่ยเงินเพิ่มฯ'!$E$10:$AJ$104,15,FALSE)+VLOOKUP($D75,'4.เขตปรับKและเกลี่ยเงินเพิ่มฯ'!$E$10:$AJ$104,16,FALSE)+VLOOKUP($D75,'4.เขตปรับKและเกลี่ยเงินเพิ่มฯ'!$E$10:$AJ$104,17,FALSE)</f>
        <v>86413326.760000005</v>
      </c>
      <c r="J75" s="9">
        <f>VLOOKUP($D75,'4.เขตปรับKและเกลี่ยเงินเพิ่มฯ'!$E$10:$AJ$104,18,FALSE)</f>
        <v>201680399.11000001</v>
      </c>
      <c r="K75" s="9">
        <f>VLOOKUP($D75,'4.เขตปรับKและเกลี่ยเงินเพิ่มฯ'!$E$10:$AJ$104,19,FALSE)</f>
        <v>74830627</v>
      </c>
      <c r="L75" s="9">
        <f>VLOOKUP($D75,'4.เขตปรับKและเกลี่ยเงินเพิ่มฯ'!$E$10:$AJ$104,20,FALSE)</f>
        <v>126849772.11</v>
      </c>
      <c r="M75" s="9">
        <f>VLOOKUP($D75,'4.เขตปรับKและเกลี่ยเงินเพิ่มฯ'!$E$10:$AJ$104,21,FALSE)</f>
        <v>0</v>
      </c>
      <c r="N75" s="9">
        <f>VLOOKUP($D75,'4.เขตปรับKและเกลี่ยเงินเพิ่มฯ'!$E$10:$AJ$104,22,FALSE)</f>
        <v>126849772.11</v>
      </c>
      <c r="O75" s="9">
        <f>VLOOKUP($D75,'4.เขตปรับKและเกลี่ยเงินเพิ่มฯ'!$E$10:$AJ$104,30,FALSE)</f>
        <v>0</v>
      </c>
      <c r="P75" s="9">
        <f>VLOOKUP($D75,'4.เขตปรับKและเกลี่ยเงินเพิ่มฯ'!$E$10:$AJ$104,32,FALSE)</f>
        <v>126849772.11</v>
      </c>
      <c r="Q75" s="9">
        <f>VLOOKUP($D75,'4.เขตปรับKและเกลี่ยเงินเพิ่มฯ'!$E$10:$AJ$104,26,FALSE)</f>
        <v>0</v>
      </c>
      <c r="R75" s="9">
        <f>VLOOKUP($D75,'4.เขตปรับKและเกลี่ยเงินเพิ่มฯ'!$E$10:$AJ$104,23,FALSE)</f>
        <v>117148240.28</v>
      </c>
    </row>
    <row r="76" spans="1:18" s="64" customFormat="1" ht="15" customHeight="1" outlineLevel="2">
      <c r="A76" s="67">
        <v>564</v>
      </c>
      <c r="B76" s="68" t="s">
        <v>26</v>
      </c>
      <c r="C76" s="68" t="s">
        <v>154</v>
      </c>
      <c r="D76" s="68" t="s">
        <v>171</v>
      </c>
      <c r="E76" s="68" t="s">
        <v>172</v>
      </c>
      <c r="F76" s="9">
        <f>VLOOKUP($D76,'4.เขตปรับKและเกลี่ยเงินเพิ่มฯ'!$E$10:$AJ$104,5,FALSE)</f>
        <v>1.25</v>
      </c>
      <c r="G76" s="9">
        <f>VLOOKUP($D76,'4.เขตปรับKและเกลี่ยเงินเพิ่มฯ'!$E$10:$AJ$104,13,FALSE)</f>
        <v>42428823.450000003</v>
      </c>
      <c r="H76" s="9">
        <f>VLOOKUP($D76,'4.เขตปรับKและเกลี่ยเงินเพิ่มฯ'!$E$10:$AJ$104,14,FALSE)</f>
        <v>8496485.4600000009</v>
      </c>
      <c r="I76" s="9">
        <f>VLOOKUP($D76,'4.เขตปรับKและเกลี่ยเงินเพิ่มฯ'!$E$10:$AJ$104,15,FALSE)+VLOOKUP($D76,'4.เขตปรับKและเกลี่ยเงินเพิ่มฯ'!$E$10:$AJ$104,16,FALSE)+VLOOKUP($D76,'4.เขตปรับKและเกลี่ยเงินเพิ่มฯ'!$E$10:$AJ$104,17,FALSE)</f>
        <v>14172479.74</v>
      </c>
      <c r="J76" s="9">
        <f>VLOOKUP($D76,'4.เขตปรับKและเกลี่ยเงินเพิ่มฯ'!$E$10:$AJ$104,18,FALSE)</f>
        <v>65097788.650000006</v>
      </c>
      <c r="K76" s="9">
        <f>VLOOKUP($D76,'4.เขตปรับKและเกลี่ยเงินเพิ่มฯ'!$E$10:$AJ$104,19,FALSE)</f>
        <v>26599910</v>
      </c>
      <c r="L76" s="9">
        <f>VLOOKUP($D76,'4.เขตปรับKและเกลี่ยเงินเพิ่มฯ'!$E$10:$AJ$104,20,FALSE)</f>
        <v>38497878.649999999</v>
      </c>
      <c r="M76" s="9">
        <f>VLOOKUP($D76,'4.เขตปรับKและเกลี่ยเงินเพิ่มฯ'!$E$10:$AJ$104,21,FALSE)</f>
        <v>0</v>
      </c>
      <c r="N76" s="9">
        <f>VLOOKUP($D76,'4.เขตปรับKและเกลี่ยเงินเพิ่มฯ'!$E$10:$AJ$104,22,FALSE)</f>
        <v>38497878.649999999</v>
      </c>
      <c r="O76" s="9">
        <f>VLOOKUP($D76,'4.เขตปรับKและเกลี่ยเงินเพิ่มฯ'!$E$10:$AJ$104,30,FALSE)</f>
        <v>0</v>
      </c>
      <c r="P76" s="9">
        <f>VLOOKUP($D76,'4.เขตปรับKและเกลี่ยเงินเพิ่มฯ'!$E$10:$AJ$104,32,FALSE)</f>
        <v>38497878.649999999</v>
      </c>
      <c r="Q76" s="9">
        <f>VLOOKUP($D76,'4.เขตปรับKและเกลี่ยเงินเพิ่มฯ'!$E$10:$AJ$104,26,FALSE)</f>
        <v>0</v>
      </c>
      <c r="R76" s="9">
        <f>VLOOKUP($D76,'4.เขตปรับKและเกลี่ยเงินเพิ่มฯ'!$E$10:$AJ$104,23,FALSE)</f>
        <v>35425794.219999999</v>
      </c>
    </row>
    <row r="77" spans="1:18" s="64" customFormat="1" ht="15" customHeight="1" outlineLevel="2">
      <c r="A77" s="67">
        <v>565</v>
      </c>
      <c r="B77" s="68" t="s">
        <v>26</v>
      </c>
      <c r="C77" s="68" t="s">
        <v>154</v>
      </c>
      <c r="D77" s="68" t="s">
        <v>173</v>
      </c>
      <c r="E77" s="68" t="s">
        <v>174</v>
      </c>
      <c r="F77" s="9">
        <f>VLOOKUP($D77,'4.เขตปรับKและเกลี่ยเงินเพิ่มฯ'!$E$10:$AJ$104,5,FALSE)</f>
        <v>1.1499999999999999</v>
      </c>
      <c r="G77" s="9">
        <f>VLOOKUP($D77,'4.เขตปรับKและเกลี่ยเงินเพิ่มฯ'!$E$10:$AJ$104,13,FALSE)</f>
        <v>63919319.899999999</v>
      </c>
      <c r="H77" s="9">
        <f>VLOOKUP($D77,'4.เขตปรับKและเกลี่ยเงินเพิ่มฯ'!$E$10:$AJ$104,14,FALSE)</f>
        <v>12800014.9</v>
      </c>
      <c r="I77" s="9">
        <f>VLOOKUP($D77,'4.เขตปรับKและเกลี่ยเงินเพิ่มฯ'!$E$10:$AJ$104,15,FALSE)+VLOOKUP($D77,'4.เขตปรับKและเกลี่ยเงินเพิ่มฯ'!$E$10:$AJ$104,16,FALSE)+VLOOKUP($D77,'4.เขตปรับKและเกลี่ยเงินเพิ่มฯ'!$E$10:$AJ$104,17,FALSE)</f>
        <v>24876831.190000001</v>
      </c>
      <c r="J77" s="9">
        <f>VLOOKUP($D77,'4.เขตปรับKและเกลี่ยเงินเพิ่มฯ'!$E$10:$AJ$104,18,FALSE)</f>
        <v>101596165.98999999</v>
      </c>
      <c r="K77" s="9">
        <f>VLOOKUP($D77,'4.เขตปรับKและเกลี่ยเงินเพิ่มฯ'!$E$10:$AJ$104,19,FALSE)</f>
        <v>41768850</v>
      </c>
      <c r="L77" s="9">
        <f>VLOOKUP($D77,'4.เขตปรับKและเกลี่ยเงินเพิ่มฯ'!$E$10:$AJ$104,20,FALSE)</f>
        <v>59827315.990000002</v>
      </c>
      <c r="M77" s="9">
        <f>VLOOKUP($D77,'4.เขตปรับKและเกลี่ยเงินเพิ่มฯ'!$E$10:$AJ$104,21,FALSE)</f>
        <v>436446.13</v>
      </c>
      <c r="N77" s="9">
        <f>VLOOKUP($D77,'4.เขตปรับKและเกลี่ยเงินเพิ่มฯ'!$E$10:$AJ$104,22,FALSE)</f>
        <v>60263762.119999997</v>
      </c>
      <c r="O77" s="9">
        <f>VLOOKUP($D77,'4.เขตปรับKและเกลี่ยเงินเพิ่มฯ'!$E$10:$AJ$104,30,FALSE)</f>
        <v>0</v>
      </c>
      <c r="P77" s="9">
        <f>VLOOKUP($D77,'4.เขตปรับKและเกลี่ยเงินเพิ่มฯ'!$E$10:$AJ$104,32,FALSE)</f>
        <v>60263762.119999997</v>
      </c>
      <c r="Q77" s="9">
        <f>VLOOKUP($D77,'4.เขตปรับKและเกลี่ยเงินเพิ่มฯ'!$E$10:$AJ$104,26,FALSE)</f>
        <v>0</v>
      </c>
      <c r="R77" s="9">
        <f>VLOOKUP($D77,'4.เขตปรับKและเกลี่ยเงินเพิ่มฯ'!$E$10:$AJ$104,23,FALSE)</f>
        <v>60263762.119999997</v>
      </c>
    </row>
    <row r="78" spans="1:18" s="64" customFormat="1" ht="15" customHeight="1" outlineLevel="2">
      <c r="A78" s="67">
        <v>566</v>
      </c>
      <c r="B78" s="68" t="s">
        <v>26</v>
      </c>
      <c r="C78" s="68" t="s">
        <v>154</v>
      </c>
      <c r="D78" s="68" t="s">
        <v>175</v>
      </c>
      <c r="E78" s="68" t="s">
        <v>176</v>
      </c>
      <c r="F78" s="9">
        <f>VLOOKUP($D78,'4.เขตปรับKและเกลี่ยเงินเพิ่มฯ'!$E$10:$AJ$104,5,FALSE)</f>
        <v>1.1499999999999999</v>
      </c>
      <c r="G78" s="9">
        <f>VLOOKUP($D78,'4.เขตปรับKและเกลี่ยเงินเพิ่มฯ'!$E$10:$AJ$104,13,FALSE)</f>
        <v>64259954.969999999</v>
      </c>
      <c r="H78" s="9">
        <f>VLOOKUP($D78,'4.เขตปรับKและเกลี่ยเงินเพิ่มฯ'!$E$10:$AJ$104,14,FALSE)</f>
        <v>12868227.99</v>
      </c>
      <c r="I78" s="9">
        <f>VLOOKUP($D78,'4.เขตปรับKและเกลี่ยเงินเพิ่มฯ'!$E$10:$AJ$104,15,FALSE)+VLOOKUP($D78,'4.เขตปรับKและเกลี่ยเงินเพิ่มฯ'!$E$10:$AJ$104,16,FALSE)+VLOOKUP($D78,'4.เขตปรับKและเกลี่ยเงินเพิ่มฯ'!$E$10:$AJ$104,17,FALSE)</f>
        <v>33915516.780000001</v>
      </c>
      <c r="J78" s="9">
        <f>VLOOKUP($D78,'4.เขตปรับKและเกลี่ยเงินเพิ่มฯ'!$E$10:$AJ$104,18,FALSE)</f>
        <v>111043699.73999999</v>
      </c>
      <c r="K78" s="9">
        <f>VLOOKUP($D78,'4.เขตปรับKและเกลี่ยเงินเพิ่มฯ'!$E$10:$AJ$104,19,FALSE)</f>
        <v>51639122</v>
      </c>
      <c r="L78" s="9">
        <f>VLOOKUP($D78,'4.เขตปรับKและเกลี่ยเงินเพิ่มฯ'!$E$10:$AJ$104,20,FALSE)</f>
        <v>59404577.740000002</v>
      </c>
      <c r="M78" s="9">
        <f>VLOOKUP($D78,'4.เขตปรับKและเกลี่ยเงินเพิ่มฯ'!$E$10:$AJ$104,21,FALSE)</f>
        <v>0</v>
      </c>
      <c r="N78" s="9">
        <f>VLOOKUP($D78,'4.เขตปรับKและเกลี่ยเงินเพิ่มฯ'!$E$10:$AJ$104,22,FALSE)</f>
        <v>59404577.740000002</v>
      </c>
      <c r="O78" s="9">
        <f>VLOOKUP($D78,'4.เขตปรับKและเกลี่ยเงินเพิ่มฯ'!$E$10:$AJ$104,30,FALSE)</f>
        <v>0</v>
      </c>
      <c r="P78" s="9">
        <f>VLOOKUP($D78,'4.เขตปรับKและเกลี่ยเงินเพิ่มฯ'!$E$10:$AJ$104,32,FALSE)</f>
        <v>59404577.740000002</v>
      </c>
      <c r="Q78" s="9">
        <f>VLOOKUP($D78,'4.เขตปรับKและเกลี่ยเงินเพิ่มฯ'!$E$10:$AJ$104,26,FALSE)</f>
        <v>0</v>
      </c>
      <c r="R78" s="9">
        <f>VLOOKUP($D78,'4.เขตปรับKและเกลี่ยเงินเพิ่มฯ'!$E$10:$AJ$104,23,FALSE)</f>
        <v>56581134.960000001</v>
      </c>
    </row>
    <row r="79" spans="1:18" s="64" customFormat="1" ht="15" customHeight="1" outlineLevel="2">
      <c r="A79" s="67">
        <v>567</v>
      </c>
      <c r="B79" s="68" t="s">
        <v>26</v>
      </c>
      <c r="C79" s="68" t="s">
        <v>154</v>
      </c>
      <c r="D79" s="68" t="s">
        <v>177</v>
      </c>
      <c r="E79" s="68" t="s">
        <v>178</v>
      </c>
      <c r="F79" s="9">
        <f>VLOOKUP($D79,'4.เขตปรับKและเกลี่ยเงินเพิ่มฯ'!$E$10:$AJ$104,5,FALSE)</f>
        <v>1.3</v>
      </c>
      <c r="G79" s="9">
        <f>VLOOKUP($D79,'4.เขตปรับKและเกลี่ยเงินเพิ่มฯ'!$E$10:$AJ$104,13,FALSE)</f>
        <v>37612243.509999998</v>
      </c>
      <c r="H79" s="9">
        <f>VLOOKUP($D79,'4.เขตปรับKและเกลี่ยเงินเพิ่มฯ'!$E$10:$AJ$104,14,FALSE)</f>
        <v>7531952.4400000004</v>
      </c>
      <c r="I79" s="9">
        <f>VLOOKUP($D79,'4.เขตปรับKและเกลี่ยเงินเพิ่มฯ'!$E$10:$AJ$104,15,FALSE)+VLOOKUP($D79,'4.เขตปรับKและเกลี่ยเงินเพิ่มฯ'!$E$10:$AJ$104,16,FALSE)+VLOOKUP($D79,'4.เขตปรับKและเกลี่ยเงินเพิ่มฯ'!$E$10:$AJ$104,17,FALSE)</f>
        <v>13903729.640000001</v>
      </c>
      <c r="J79" s="9">
        <f>VLOOKUP($D79,'4.เขตปรับKและเกลี่ยเงินเพิ่มฯ'!$E$10:$AJ$104,18,FALSE)</f>
        <v>59047925.589999996</v>
      </c>
      <c r="K79" s="9">
        <f>VLOOKUP($D79,'4.เขตปรับKและเกลี่ยเงินเพิ่มฯ'!$E$10:$AJ$104,19,FALSE)</f>
        <v>22407772</v>
      </c>
      <c r="L79" s="9">
        <f>VLOOKUP($D79,'4.เขตปรับKและเกลี่ยเงินเพิ่มฯ'!$E$10:$AJ$104,20,FALSE)</f>
        <v>36640153.590000004</v>
      </c>
      <c r="M79" s="9">
        <f>VLOOKUP($D79,'4.เขตปรับKและเกลี่ยเงินเพิ่มฯ'!$E$10:$AJ$104,21,FALSE)</f>
        <v>0</v>
      </c>
      <c r="N79" s="9">
        <f>VLOOKUP($D79,'4.เขตปรับKและเกลี่ยเงินเพิ่มฯ'!$E$10:$AJ$104,22,FALSE)</f>
        <v>36640153.590000004</v>
      </c>
      <c r="O79" s="9">
        <f>VLOOKUP($D79,'4.เขตปรับKและเกลี่ยเงินเพิ่มฯ'!$E$10:$AJ$104,30,FALSE)</f>
        <v>0</v>
      </c>
      <c r="P79" s="9">
        <f>VLOOKUP($D79,'4.เขตปรับKและเกลี่ยเงินเพิ่มฯ'!$E$10:$AJ$104,32,FALSE)</f>
        <v>36640153.590000004</v>
      </c>
      <c r="Q79" s="9">
        <f>VLOOKUP($D79,'4.เขตปรับKและเกลี่ยเงินเพิ่มฯ'!$E$10:$AJ$104,26,FALSE)</f>
        <v>0</v>
      </c>
      <c r="R79" s="9">
        <f>VLOOKUP($D79,'4.เขตปรับKและเกลี่ยเงินเพิ่มฯ'!$E$10:$AJ$104,23,FALSE)</f>
        <v>33098678.140000001</v>
      </c>
    </row>
    <row r="80" spans="1:18" s="64" customFormat="1" ht="15" customHeight="1" outlineLevel="2">
      <c r="A80" s="67">
        <v>568</v>
      </c>
      <c r="B80" s="68" t="s">
        <v>26</v>
      </c>
      <c r="C80" s="68" t="s">
        <v>154</v>
      </c>
      <c r="D80" s="68" t="s">
        <v>179</v>
      </c>
      <c r="E80" s="68" t="s">
        <v>180</v>
      </c>
      <c r="F80" s="9">
        <f>VLOOKUP($D80,'4.เขตปรับKและเกลี่ยเงินเพิ่มฯ'!$E$10:$AJ$104,5,FALSE)</f>
        <v>1.35</v>
      </c>
      <c r="G80" s="9">
        <f>VLOOKUP($D80,'4.เขตปรับKและเกลี่ยเงินเพิ่มฯ'!$E$10:$AJ$104,13,FALSE)</f>
        <v>27000098.440000001</v>
      </c>
      <c r="H80" s="9">
        <f>VLOOKUP($D80,'4.เขตปรับKและเกลี่ยเงินเพิ่มฯ'!$E$10:$AJ$104,14,FALSE)</f>
        <v>5406841.9900000002</v>
      </c>
      <c r="I80" s="9">
        <f>VLOOKUP($D80,'4.เขตปรับKและเกลี่ยเงินเพิ่มฯ'!$E$10:$AJ$104,15,FALSE)+VLOOKUP($D80,'4.เขตปรับKและเกลี่ยเงินเพิ่มฯ'!$E$10:$AJ$104,16,FALSE)+VLOOKUP($D80,'4.เขตปรับKและเกลี่ยเงินเพิ่มฯ'!$E$10:$AJ$104,17,FALSE)</f>
        <v>11307122.66</v>
      </c>
      <c r="J80" s="9">
        <f>VLOOKUP($D80,'4.เขตปรับKและเกลี่ยเงินเพิ่มฯ'!$E$10:$AJ$104,18,FALSE)</f>
        <v>43714063.090000004</v>
      </c>
      <c r="K80" s="9">
        <f>VLOOKUP($D80,'4.เขตปรับKและเกลี่ยเงินเพิ่มฯ'!$E$10:$AJ$104,19,FALSE)</f>
        <v>21559567</v>
      </c>
      <c r="L80" s="9">
        <f>VLOOKUP($D80,'4.เขตปรับKและเกลี่ยเงินเพิ่มฯ'!$E$10:$AJ$104,20,FALSE)</f>
        <v>22154496.09</v>
      </c>
      <c r="M80" s="9">
        <f>VLOOKUP($D80,'4.เขตปรับKและเกลี่ยเงินเพิ่มฯ'!$E$10:$AJ$104,21,FALSE)</f>
        <v>0</v>
      </c>
      <c r="N80" s="9">
        <f>VLOOKUP($D80,'4.เขตปรับKและเกลี่ยเงินเพิ่มฯ'!$E$10:$AJ$104,22,FALSE)</f>
        <v>22154496.09</v>
      </c>
      <c r="O80" s="9">
        <f>VLOOKUP($D80,'4.เขตปรับKและเกลี่ยเงินเพิ่มฯ'!$E$10:$AJ$104,30,FALSE)</f>
        <v>0</v>
      </c>
      <c r="P80" s="9">
        <f>VLOOKUP($D80,'4.เขตปรับKและเกลี่ยเงินเพิ่มฯ'!$E$10:$AJ$104,32,FALSE)</f>
        <v>22154496.09</v>
      </c>
      <c r="Q80" s="9">
        <f>VLOOKUP($D80,'4.เขตปรับKและเกลี่ยเงินเพิ่มฯ'!$E$10:$AJ$104,26,FALSE)</f>
        <v>0</v>
      </c>
      <c r="R80" s="9">
        <f>VLOOKUP($D80,'4.เขตปรับKและเกลี่ยเงินเพิ่มฯ'!$E$10:$AJ$104,23,FALSE)</f>
        <v>20859686.780000001</v>
      </c>
    </row>
    <row r="81" spans="1:18" s="64" customFormat="1" ht="15" customHeight="1" outlineLevel="2">
      <c r="A81" s="67">
        <v>569</v>
      </c>
      <c r="B81" s="68" t="s">
        <v>26</v>
      </c>
      <c r="C81" s="68" t="s">
        <v>154</v>
      </c>
      <c r="D81" s="68" t="s">
        <v>181</v>
      </c>
      <c r="E81" s="68" t="s">
        <v>182</v>
      </c>
      <c r="F81" s="9">
        <f>VLOOKUP($D81,'4.เขตปรับKและเกลี่ยเงินเพิ่มฯ'!$E$10:$AJ$104,5,FALSE)</f>
        <v>1.3</v>
      </c>
      <c r="G81" s="9">
        <f>VLOOKUP($D81,'4.เขตปรับKและเกลี่ยเงินเพิ่มฯ'!$E$10:$AJ$104,13,FALSE)</f>
        <v>35564004.82</v>
      </c>
      <c r="H81" s="9">
        <f>VLOOKUP($D81,'4.เขตปรับKและเกลี่ยเงินเพิ่มฯ'!$E$10:$AJ$104,14,FALSE)</f>
        <v>7121787.1600000001</v>
      </c>
      <c r="I81" s="9">
        <f>VLOOKUP($D81,'4.เขตปรับKและเกลี่ยเงินเพิ่มฯ'!$E$10:$AJ$104,15,FALSE)+VLOOKUP($D81,'4.เขตปรับKและเกลี่ยเงินเพิ่มฯ'!$E$10:$AJ$104,16,FALSE)+VLOOKUP($D81,'4.เขตปรับKและเกลี่ยเงินเพิ่มฯ'!$E$10:$AJ$104,17,FALSE)</f>
        <v>15505654.600000001</v>
      </c>
      <c r="J81" s="9">
        <f>VLOOKUP($D81,'4.เขตปรับKและเกลี่ยเงินเพิ่มฯ'!$E$10:$AJ$104,18,FALSE)</f>
        <v>58191446.580000006</v>
      </c>
      <c r="K81" s="9">
        <f>VLOOKUP($D81,'4.เขตปรับKและเกลี่ยเงินเพิ่มฯ'!$E$10:$AJ$104,19,FALSE)</f>
        <v>31182818</v>
      </c>
      <c r="L81" s="9">
        <f>VLOOKUP($D81,'4.เขตปรับKและเกลี่ยเงินเพิ่มฯ'!$E$10:$AJ$104,20,FALSE)</f>
        <v>27008628.579999998</v>
      </c>
      <c r="M81" s="9">
        <f>VLOOKUP($D81,'4.เขตปรับKและเกลี่ยเงินเพิ่มฯ'!$E$10:$AJ$104,21,FALSE)</f>
        <v>1296005.8700000001</v>
      </c>
      <c r="N81" s="9">
        <f>VLOOKUP($D81,'4.เขตปรับKและเกลี่ยเงินเพิ่มฯ'!$E$10:$AJ$104,22,FALSE)</f>
        <v>28304634.449999999</v>
      </c>
      <c r="O81" s="9">
        <f>VLOOKUP($D81,'4.เขตปรับKและเกลี่ยเงินเพิ่มฯ'!$E$10:$AJ$104,30,FALSE)</f>
        <v>0</v>
      </c>
      <c r="P81" s="9">
        <f>VLOOKUP($D81,'4.เขตปรับKและเกลี่ยเงินเพิ่มฯ'!$E$10:$AJ$104,32,FALSE)</f>
        <v>28304634.449999999</v>
      </c>
      <c r="Q81" s="9">
        <f>VLOOKUP($D81,'4.เขตปรับKและเกลี่ยเงินเพิ่มฯ'!$E$10:$AJ$104,26,FALSE)</f>
        <v>0</v>
      </c>
      <c r="R81" s="9">
        <f>VLOOKUP($D81,'4.เขตปรับKและเกลี่ยเงินเพิ่มฯ'!$E$10:$AJ$104,23,FALSE)</f>
        <v>28304634.449999999</v>
      </c>
    </row>
    <row r="82" spans="1:18" s="64" customFormat="1" ht="15" customHeight="1" outlineLevel="2">
      <c r="A82" s="67">
        <v>570</v>
      </c>
      <c r="B82" s="68" t="s">
        <v>26</v>
      </c>
      <c r="C82" s="68" t="s">
        <v>154</v>
      </c>
      <c r="D82" s="68" t="s">
        <v>183</v>
      </c>
      <c r="E82" s="68" t="s">
        <v>184</v>
      </c>
      <c r="F82" s="9">
        <f>VLOOKUP($D82,'4.เขตปรับKและเกลี่ยเงินเพิ่มฯ'!$E$10:$AJ$104,5,FALSE)</f>
        <v>1.25</v>
      </c>
      <c r="G82" s="9">
        <f>VLOOKUP($D82,'4.เขตปรับKและเกลี่ยเงินเพิ่มฯ'!$E$10:$AJ$104,13,FALSE)</f>
        <v>44995849.359999999</v>
      </c>
      <c r="H82" s="9">
        <f>VLOOKUP($D82,'4.เขตปรับKและเกลี่ยเงินเพิ่มฯ'!$E$10:$AJ$104,14,FALSE)</f>
        <v>9010539.2799999993</v>
      </c>
      <c r="I82" s="9">
        <f>VLOOKUP($D82,'4.เขตปรับKและเกลี่ยเงินเพิ่มฯ'!$E$10:$AJ$104,15,FALSE)+VLOOKUP($D82,'4.เขตปรับKและเกลี่ยเงินเพิ่มฯ'!$E$10:$AJ$104,16,FALSE)+VLOOKUP($D82,'4.เขตปรับKและเกลี่ยเงินเพิ่มฯ'!$E$10:$AJ$104,17,FALSE)</f>
        <v>10916703.530000001</v>
      </c>
      <c r="J82" s="9">
        <f>VLOOKUP($D82,'4.เขตปรับKและเกลี่ยเงินเพิ่มฯ'!$E$10:$AJ$104,18,FALSE)</f>
        <v>64923092.170000002</v>
      </c>
      <c r="K82" s="9">
        <f>VLOOKUP($D82,'4.เขตปรับKและเกลี่ยเงินเพิ่มฯ'!$E$10:$AJ$104,19,FALSE)</f>
        <v>25151893</v>
      </c>
      <c r="L82" s="9">
        <f>VLOOKUP($D82,'4.เขตปรับKและเกลี่ยเงินเพิ่มฯ'!$E$10:$AJ$104,20,FALSE)</f>
        <v>39771199.170000002</v>
      </c>
      <c r="M82" s="9">
        <f>VLOOKUP($D82,'4.เขตปรับKและเกลี่ยเงินเพิ่มฯ'!$E$10:$AJ$104,21,FALSE)</f>
        <v>0</v>
      </c>
      <c r="N82" s="9">
        <f>VLOOKUP($D82,'4.เขตปรับKและเกลี่ยเงินเพิ่มฯ'!$E$10:$AJ$104,22,FALSE)</f>
        <v>39771199.170000002</v>
      </c>
      <c r="O82" s="9">
        <f>VLOOKUP($D82,'4.เขตปรับKและเกลี่ยเงินเพิ่มฯ'!$E$10:$AJ$104,30,FALSE)</f>
        <v>0</v>
      </c>
      <c r="P82" s="9">
        <f>VLOOKUP($D82,'4.เขตปรับKและเกลี่ยเงินเพิ่มฯ'!$E$10:$AJ$104,32,FALSE)</f>
        <v>39771199.170000002</v>
      </c>
      <c r="Q82" s="9">
        <f>VLOOKUP($D82,'4.เขตปรับKและเกลี่ยเงินเพิ่มฯ'!$E$10:$AJ$104,26,FALSE)</f>
        <v>0</v>
      </c>
      <c r="R82" s="9">
        <f>VLOOKUP($D82,'4.เขตปรับKและเกลี่ยเงินเพิ่มฯ'!$E$10:$AJ$104,23,FALSE)</f>
        <v>36874172.780000001</v>
      </c>
    </row>
    <row r="83" spans="1:18" s="64" customFormat="1" ht="15" customHeight="1" outlineLevel="2">
      <c r="A83" s="67">
        <v>571</v>
      </c>
      <c r="B83" s="68" t="s">
        <v>26</v>
      </c>
      <c r="C83" s="68" t="s">
        <v>154</v>
      </c>
      <c r="D83" s="68" t="s">
        <v>185</v>
      </c>
      <c r="E83" s="68" t="s">
        <v>186</v>
      </c>
      <c r="F83" s="9">
        <f>VLOOKUP($D83,'4.เขตปรับKและเกลี่ยเงินเพิ่มฯ'!$E$10:$AJ$104,5,FALSE)</f>
        <v>1.3</v>
      </c>
      <c r="G83" s="9">
        <f>VLOOKUP($D83,'4.เขตปรับKและเกลี่ยเงินเพิ่มฯ'!$E$10:$AJ$104,13,FALSE)</f>
        <v>39590141.07</v>
      </c>
      <c r="H83" s="9">
        <f>VLOOKUP($D83,'4.เขตปรับKและเกลี่ยเงินเพิ่มฯ'!$E$10:$AJ$104,14,FALSE)</f>
        <v>7928031.7199999997</v>
      </c>
      <c r="I83" s="9">
        <f>VLOOKUP($D83,'4.เขตปรับKและเกลี่ยเงินเพิ่มฯ'!$E$10:$AJ$104,15,FALSE)+VLOOKUP($D83,'4.เขตปรับKและเกลี่ยเงินเพิ่มฯ'!$E$10:$AJ$104,16,FALSE)+VLOOKUP($D83,'4.เขตปรับKและเกลี่ยเงินเพิ่มฯ'!$E$10:$AJ$104,17,FALSE)</f>
        <v>13253994.74</v>
      </c>
      <c r="J83" s="9">
        <f>VLOOKUP($D83,'4.เขตปรับKและเกลี่ยเงินเพิ่มฯ'!$E$10:$AJ$104,18,FALSE)</f>
        <v>60772167.530000009</v>
      </c>
      <c r="K83" s="9">
        <f>VLOOKUP($D83,'4.เขตปรับKและเกลี่ยเงินเพิ่มฯ'!$E$10:$AJ$104,19,FALSE)</f>
        <v>22229526</v>
      </c>
      <c r="L83" s="9">
        <f>VLOOKUP($D83,'4.เขตปรับKและเกลี่ยเงินเพิ่มฯ'!$E$10:$AJ$104,20,FALSE)</f>
        <v>38542641.530000001</v>
      </c>
      <c r="M83" s="9">
        <f>VLOOKUP($D83,'4.เขตปรับKและเกลี่ยเงินเพิ่มฯ'!$E$10:$AJ$104,21,FALSE)</f>
        <v>0</v>
      </c>
      <c r="N83" s="9">
        <f>VLOOKUP($D83,'4.เขตปรับKและเกลี่ยเงินเพิ่มฯ'!$E$10:$AJ$104,22,FALSE)</f>
        <v>38542641.530000001</v>
      </c>
      <c r="O83" s="9">
        <f>VLOOKUP($D83,'4.เขตปรับKและเกลี่ยเงินเพิ่มฯ'!$E$10:$AJ$104,30,FALSE)</f>
        <v>0</v>
      </c>
      <c r="P83" s="9">
        <f>VLOOKUP($D83,'4.เขตปรับKและเกลี่ยเงินเพิ่มฯ'!$E$10:$AJ$104,32,FALSE)</f>
        <v>38542641.530000001</v>
      </c>
      <c r="Q83" s="9">
        <f>VLOOKUP($D83,'4.เขตปรับKและเกลี่ยเงินเพิ่มฯ'!$E$10:$AJ$104,26,FALSE)</f>
        <v>0</v>
      </c>
      <c r="R83" s="9">
        <f>VLOOKUP($D83,'4.เขตปรับKและเกลี่ยเงินเพิ่มฯ'!$E$10:$AJ$104,23,FALSE)</f>
        <v>36690893.68</v>
      </c>
    </row>
    <row r="84" spans="1:18" s="64" customFormat="1" ht="15" customHeight="1" outlineLevel="2">
      <c r="A84" s="67">
        <v>572</v>
      </c>
      <c r="B84" s="68" t="s">
        <v>26</v>
      </c>
      <c r="C84" s="68" t="s">
        <v>154</v>
      </c>
      <c r="D84" s="68" t="s">
        <v>187</v>
      </c>
      <c r="E84" s="68" t="s">
        <v>188</v>
      </c>
      <c r="F84" s="9">
        <f>VLOOKUP($D84,'4.เขตปรับKและเกลี่ยเงินเพิ่มฯ'!$E$10:$AJ$104,5,FALSE)</f>
        <v>1.1499999999999999</v>
      </c>
      <c r="G84" s="9">
        <f>VLOOKUP($D84,'4.เขตปรับKและเกลี่ยเงินเพิ่มฯ'!$E$10:$AJ$104,13,FALSE)</f>
        <v>112659515.14</v>
      </c>
      <c r="H84" s="9">
        <f>VLOOKUP($D84,'4.เขตปรับKและเกลี่ยเงินเพิ่มฯ'!$E$10:$AJ$104,14,FALSE)</f>
        <v>22560369.460000001</v>
      </c>
      <c r="I84" s="9">
        <f>VLOOKUP($D84,'4.เขตปรับKและเกลี่ยเงินเพิ่มฯ'!$E$10:$AJ$104,15,FALSE)+VLOOKUP($D84,'4.เขตปรับKและเกลี่ยเงินเพิ่มฯ'!$E$10:$AJ$104,16,FALSE)+VLOOKUP($D84,'4.เขตปรับKและเกลี่ยเงินเพิ่มฯ'!$E$10:$AJ$104,17,FALSE)</f>
        <v>107967352.85000001</v>
      </c>
      <c r="J84" s="9">
        <f>VLOOKUP($D84,'4.เขตปรับKและเกลี่ยเงินเพิ่มฯ'!$E$10:$AJ$104,18,FALSE)</f>
        <v>243187237.44999999</v>
      </c>
      <c r="K84" s="9">
        <f>VLOOKUP($D84,'4.เขตปรับKและเกลี่ยเงินเพิ่มฯ'!$E$10:$AJ$104,19,FALSE)</f>
        <v>109859571</v>
      </c>
      <c r="L84" s="9">
        <f>VLOOKUP($D84,'4.เขตปรับKและเกลี่ยเงินเพิ่มฯ'!$E$10:$AJ$104,20,FALSE)</f>
        <v>133327666.45</v>
      </c>
      <c r="M84" s="9">
        <f>VLOOKUP($D84,'4.เขตปรับKและเกลี่ยเงินเพิ่มฯ'!$E$10:$AJ$104,21,FALSE)</f>
        <v>27810456.699999999</v>
      </c>
      <c r="N84" s="9">
        <f>VLOOKUP($D84,'4.เขตปรับKและเกลี่ยเงินเพิ่มฯ'!$E$10:$AJ$104,22,FALSE)</f>
        <v>161138123.15000001</v>
      </c>
      <c r="O84" s="9">
        <f>VLOOKUP($D84,'4.เขตปรับKและเกลี่ยเงินเพิ่มฯ'!$E$10:$AJ$104,30,FALSE)</f>
        <v>0</v>
      </c>
      <c r="P84" s="9">
        <f>VLOOKUP($D84,'4.เขตปรับKและเกลี่ยเงินเพิ่มฯ'!$E$10:$AJ$104,32,FALSE)</f>
        <v>161138123.15000001</v>
      </c>
      <c r="Q84" s="9">
        <f>VLOOKUP($D84,'4.เขตปรับKและเกลี่ยเงินเพิ่มฯ'!$E$10:$AJ$104,26,FALSE)</f>
        <v>0</v>
      </c>
      <c r="R84" s="9">
        <f>VLOOKUP($D84,'4.เขตปรับKและเกลี่ยเงินเพิ่มฯ'!$E$10:$AJ$104,23,FALSE)</f>
        <v>161138123.15000001</v>
      </c>
    </row>
    <row r="85" spans="1:18" s="64" customFormat="1" ht="15" customHeight="1" outlineLevel="2">
      <c r="A85" s="67">
        <v>573</v>
      </c>
      <c r="B85" s="68" t="s">
        <v>26</v>
      </c>
      <c r="C85" s="68" t="s">
        <v>154</v>
      </c>
      <c r="D85" s="68" t="s">
        <v>189</v>
      </c>
      <c r="E85" s="68" t="s">
        <v>190</v>
      </c>
      <c r="F85" s="9">
        <f>VLOOKUP($D85,'4.เขตปรับKและเกลี่ยเงินเพิ่มฯ'!$E$10:$AJ$104,5,FALSE)</f>
        <v>1.3</v>
      </c>
      <c r="G85" s="9">
        <f>VLOOKUP($D85,'4.เขตปรับKและเกลี่ยเงินเพิ่มฯ'!$E$10:$AJ$104,13,FALSE)</f>
        <v>39965691.229999997</v>
      </c>
      <c r="H85" s="9">
        <f>VLOOKUP($D85,'4.เขตปรับKและเกลี่ยเงินเพิ่มฯ'!$E$10:$AJ$104,14,FALSE)</f>
        <v>8003236.6500000004</v>
      </c>
      <c r="I85" s="9">
        <f>VLOOKUP($D85,'4.เขตปรับKและเกลี่ยเงินเพิ่มฯ'!$E$10:$AJ$104,15,FALSE)+VLOOKUP($D85,'4.เขตปรับKและเกลี่ยเงินเพิ่มฯ'!$E$10:$AJ$104,16,FALSE)+VLOOKUP($D85,'4.เขตปรับKและเกลี่ยเงินเพิ่มฯ'!$E$10:$AJ$104,17,FALSE)</f>
        <v>8579212.4299999997</v>
      </c>
      <c r="J85" s="9">
        <f>VLOOKUP($D85,'4.เขตปรับKและเกลี่ยเงินเพิ่มฯ'!$E$10:$AJ$104,18,FALSE)</f>
        <v>56548140.309999995</v>
      </c>
      <c r="K85" s="9">
        <f>VLOOKUP($D85,'4.เขตปรับKและเกลี่ยเงินเพิ่มฯ'!$E$10:$AJ$104,19,FALSE)</f>
        <v>21853931</v>
      </c>
      <c r="L85" s="9">
        <f>VLOOKUP($D85,'4.เขตปรับKและเกลี่ยเงินเพิ่มฯ'!$E$10:$AJ$104,20,FALSE)</f>
        <v>34694209.310000002</v>
      </c>
      <c r="M85" s="9">
        <f>VLOOKUP($D85,'4.เขตปรับKและเกลี่ยเงินเพิ่มฯ'!$E$10:$AJ$104,21,FALSE)</f>
        <v>0</v>
      </c>
      <c r="N85" s="9">
        <f>VLOOKUP($D85,'4.เขตปรับKและเกลี่ยเงินเพิ่มฯ'!$E$10:$AJ$104,22,FALSE)</f>
        <v>34694209.310000002</v>
      </c>
      <c r="O85" s="9">
        <f>VLOOKUP($D85,'4.เขตปรับKและเกลี่ยเงินเพิ่มฯ'!$E$10:$AJ$104,30,FALSE)</f>
        <v>0</v>
      </c>
      <c r="P85" s="9">
        <f>VLOOKUP($D85,'4.เขตปรับKและเกลี่ยเงินเพิ่มฯ'!$E$10:$AJ$104,32,FALSE)</f>
        <v>34694209.310000002</v>
      </c>
      <c r="Q85" s="9">
        <f>VLOOKUP($D85,'4.เขตปรับKและเกลี่ยเงินเพิ่มฯ'!$E$10:$AJ$104,26,FALSE)</f>
        <v>0</v>
      </c>
      <c r="R85" s="9">
        <f>VLOOKUP($D85,'4.เขตปรับKและเกลี่ยเงินเพิ่มฯ'!$E$10:$AJ$104,23,FALSE)</f>
        <v>31609200.859999999</v>
      </c>
    </row>
    <row r="86" spans="1:18" s="64" customFormat="1" ht="15" customHeight="1" outlineLevel="1">
      <c r="A86" s="143"/>
      <c r="B86" s="144"/>
      <c r="C86" s="145" t="s">
        <v>284</v>
      </c>
      <c r="D86" s="144"/>
      <c r="E86" s="144"/>
      <c r="F86" s="190"/>
      <c r="G86" s="190">
        <f t="shared" ref="G86:R86" si="5">SUBTOTAL(9,G68:G85)</f>
        <v>1004767996.7900002</v>
      </c>
      <c r="H86" s="190">
        <f t="shared" si="5"/>
        <v>201207480.84000003</v>
      </c>
      <c r="I86" s="190">
        <f t="shared" si="5"/>
        <v>973751643.51999998</v>
      </c>
      <c r="J86" s="190">
        <f t="shared" si="5"/>
        <v>2179727121.1500001</v>
      </c>
      <c r="K86" s="190">
        <f t="shared" si="5"/>
        <v>969813526</v>
      </c>
      <c r="L86" s="190">
        <f t="shared" si="5"/>
        <v>1209913595.1499999</v>
      </c>
      <c r="M86" s="190">
        <f t="shared" si="5"/>
        <v>34097925</v>
      </c>
      <c r="N86" s="190">
        <f t="shared" si="5"/>
        <v>1244011520.1499999</v>
      </c>
      <c r="O86" s="190">
        <f t="shared" si="5"/>
        <v>0</v>
      </c>
      <c r="P86" s="190">
        <f t="shared" si="5"/>
        <v>1244011520.1499999</v>
      </c>
      <c r="Q86" s="190">
        <f t="shared" si="5"/>
        <v>0</v>
      </c>
      <c r="R86" s="190">
        <f t="shared" si="5"/>
        <v>1160490527.4400001</v>
      </c>
    </row>
    <row r="87" spans="1:18" s="64" customFormat="1" ht="15" customHeight="1" outlineLevel="2">
      <c r="A87" s="67">
        <v>574</v>
      </c>
      <c r="B87" s="68" t="s">
        <v>26</v>
      </c>
      <c r="C87" s="68" t="s">
        <v>192</v>
      </c>
      <c r="D87" s="68" t="s">
        <v>193</v>
      </c>
      <c r="E87" s="68" t="s">
        <v>194</v>
      </c>
      <c r="F87" s="9">
        <f>VLOOKUP($D87,'4.เขตปรับKและเกลี่ยเงินเพิ่มฯ'!$E$10:$AJ$104,5,FALSE)</f>
        <v>1.1000000000000001</v>
      </c>
      <c r="G87" s="9">
        <f>VLOOKUP($D87,'4.เขตปรับKและเกลี่ยเงินเพิ่มฯ'!$E$10:$AJ$104,13,FALSE)</f>
        <v>109009548.04000001</v>
      </c>
      <c r="H87" s="9">
        <f>VLOOKUP($D87,'4.เขตปรับKและเกลี่ยเงินเพิ่มฯ'!$E$10:$AJ$104,14,FALSE)</f>
        <v>21745877.539999999</v>
      </c>
      <c r="I87" s="9">
        <f>VLOOKUP($D87,'4.เขตปรับKและเกลี่ยเงินเพิ่มฯ'!$E$10:$AJ$104,15,FALSE)+VLOOKUP($D87,'4.เขตปรับKและเกลี่ยเงินเพิ่มฯ'!$E$10:$AJ$104,16,FALSE)+VLOOKUP($D87,'4.เขตปรับKและเกลี่ยเงินเพิ่มฯ'!$E$10:$AJ$104,17,FALSE)</f>
        <v>210532924.30000001</v>
      </c>
      <c r="J87" s="9">
        <f>VLOOKUP($D87,'4.เขตปรับKและเกลี่ยเงินเพิ่มฯ'!$E$10:$AJ$104,18,FALSE)</f>
        <v>341288349.88000005</v>
      </c>
      <c r="K87" s="9">
        <f>VLOOKUP($D87,'4.เขตปรับKและเกลี่ยเงินเพิ่มฯ'!$E$10:$AJ$104,19,FALSE)</f>
        <v>205387946</v>
      </c>
      <c r="L87" s="9">
        <f>VLOOKUP($D87,'4.เขตปรับKและเกลี่ยเงินเพิ่มฯ'!$E$10:$AJ$104,20,FALSE)</f>
        <v>135900403.88</v>
      </c>
      <c r="M87" s="9">
        <f>VLOOKUP($D87,'4.เขตปรับKและเกลี่ยเงินเพิ่มฯ'!$E$10:$AJ$104,21,FALSE)</f>
        <v>0</v>
      </c>
      <c r="N87" s="9">
        <f>VLOOKUP($D87,'4.เขตปรับKและเกลี่ยเงินเพิ่มฯ'!$E$10:$AJ$104,22,FALSE)</f>
        <v>135900403.88</v>
      </c>
      <c r="O87" s="9">
        <f>VLOOKUP($D87,'4.เขตปรับKและเกลี่ยเงินเพิ่มฯ'!$E$10:$AJ$104,30,FALSE)</f>
        <v>0</v>
      </c>
      <c r="P87" s="9">
        <f>VLOOKUP($D87,'4.เขตปรับKและเกลี่ยเงินเพิ่มฯ'!$E$10:$AJ$104,32,FALSE)</f>
        <v>135900403.88</v>
      </c>
      <c r="Q87" s="9">
        <f>VLOOKUP($D87,'4.เขตปรับKและเกลี่ยเงินเพิ่มฯ'!$E$10:$AJ$104,26,FALSE)</f>
        <v>0</v>
      </c>
      <c r="R87" s="9">
        <f>VLOOKUP($D87,'4.เขตปรับKและเกลี่ยเงินเพิ่มฯ'!$E$10:$AJ$104,23,FALSE)</f>
        <v>128746308.27</v>
      </c>
    </row>
    <row r="88" spans="1:18" s="64" customFormat="1" ht="15" customHeight="1" outlineLevel="2">
      <c r="A88" s="67">
        <v>575</v>
      </c>
      <c r="B88" s="68" t="s">
        <v>26</v>
      </c>
      <c r="C88" s="68" t="s">
        <v>192</v>
      </c>
      <c r="D88" s="68" t="s">
        <v>195</v>
      </c>
      <c r="E88" s="68" t="s">
        <v>196</v>
      </c>
      <c r="F88" s="9">
        <f>VLOOKUP($D88,'4.เขตปรับKและเกลี่ยเงินเพิ่มฯ'!$E$10:$AJ$104,5,FALSE)</f>
        <v>1.2</v>
      </c>
      <c r="G88" s="9">
        <f>VLOOKUP($D88,'4.เขตปรับKและเกลี่ยเงินเพิ่มฯ'!$E$10:$AJ$104,13,FALSE)</f>
        <v>52096565.780000001</v>
      </c>
      <c r="H88" s="9">
        <f>VLOOKUP($D88,'4.เขตปรับKและเกลี่ยเงินเพิ่มฯ'!$E$10:$AJ$104,14,FALSE)</f>
        <v>10392534.970000001</v>
      </c>
      <c r="I88" s="9">
        <f>VLOOKUP($D88,'4.เขตปรับKและเกลี่ยเงินเพิ่มฯ'!$E$10:$AJ$104,15,FALSE)+VLOOKUP($D88,'4.เขตปรับKและเกลี่ยเงินเพิ่มฯ'!$E$10:$AJ$104,16,FALSE)+VLOOKUP($D88,'4.เขตปรับKและเกลี่ยเงินเพิ่มฯ'!$E$10:$AJ$104,17,FALSE)</f>
        <v>7953322.6900000004</v>
      </c>
      <c r="J88" s="9">
        <f>VLOOKUP($D88,'4.เขตปรับKและเกลี่ยเงินเพิ่มฯ'!$E$10:$AJ$104,18,FALSE)</f>
        <v>70442423.439999998</v>
      </c>
      <c r="K88" s="9">
        <f>VLOOKUP($D88,'4.เขตปรับKและเกลี่ยเงินเพิ่มฯ'!$E$10:$AJ$104,19,FALSE)</f>
        <v>27908686</v>
      </c>
      <c r="L88" s="9">
        <f>VLOOKUP($D88,'4.เขตปรับKและเกลี่ยเงินเพิ่มฯ'!$E$10:$AJ$104,20,FALSE)</f>
        <v>42533737.439999998</v>
      </c>
      <c r="M88" s="9">
        <f>VLOOKUP($D88,'4.เขตปรับKและเกลี่ยเงินเพิ่มฯ'!$E$10:$AJ$104,21,FALSE)</f>
        <v>0</v>
      </c>
      <c r="N88" s="9">
        <f>VLOOKUP($D88,'4.เขตปรับKและเกลี่ยเงินเพิ่มฯ'!$E$10:$AJ$104,22,FALSE)</f>
        <v>42533737.439999998</v>
      </c>
      <c r="O88" s="9">
        <f>VLOOKUP($D88,'4.เขตปรับKและเกลี่ยเงินเพิ่มฯ'!$E$10:$AJ$104,30,FALSE)</f>
        <v>0</v>
      </c>
      <c r="P88" s="9">
        <f>VLOOKUP($D88,'4.เขตปรับKและเกลี่ยเงินเพิ่มฯ'!$E$10:$AJ$104,32,FALSE)</f>
        <v>42533737.439999998</v>
      </c>
      <c r="Q88" s="9">
        <f>VLOOKUP($D88,'4.เขตปรับKและเกลี่ยเงินเพิ่มฯ'!$E$10:$AJ$104,26,FALSE)</f>
        <v>0</v>
      </c>
      <c r="R88" s="9">
        <f>VLOOKUP($D88,'4.เขตปรับKและเกลี่ยเงินเพิ่มฯ'!$E$10:$AJ$104,23,FALSE)</f>
        <v>38667037.390000001</v>
      </c>
    </row>
    <row r="89" spans="1:18" s="64" customFormat="1" ht="15" customHeight="1" outlineLevel="2">
      <c r="A89" s="67">
        <v>576</v>
      </c>
      <c r="B89" s="68" t="s">
        <v>26</v>
      </c>
      <c r="C89" s="68" t="s">
        <v>192</v>
      </c>
      <c r="D89" s="68" t="s">
        <v>197</v>
      </c>
      <c r="E89" s="68" t="s">
        <v>198</v>
      </c>
      <c r="F89" s="9">
        <f>VLOOKUP($D89,'4.เขตปรับKและเกลี่ยเงินเพิ่มฯ'!$E$10:$AJ$104,5,FALSE)</f>
        <v>1.2</v>
      </c>
      <c r="G89" s="9">
        <f>VLOOKUP($D89,'4.เขตปรับKและเกลี่ยเงินเพิ่มฯ'!$E$10:$AJ$104,13,FALSE)</f>
        <v>56505119.539999999</v>
      </c>
      <c r="H89" s="9">
        <f>VLOOKUP($D89,'4.เขตปรับKและเกลี่ยเงินเพิ่มฯ'!$E$10:$AJ$104,14,FALSE)</f>
        <v>11271979.67</v>
      </c>
      <c r="I89" s="9">
        <f>VLOOKUP($D89,'4.เขตปรับKและเกลี่ยเงินเพิ่มฯ'!$E$10:$AJ$104,15,FALSE)+VLOOKUP($D89,'4.เขตปรับKและเกลี่ยเงินเพิ่มฯ'!$E$10:$AJ$104,16,FALSE)+VLOOKUP($D89,'4.เขตปรับKและเกลี่ยเงินเพิ่มฯ'!$E$10:$AJ$104,17,FALSE)</f>
        <v>10798180.65</v>
      </c>
      <c r="J89" s="9">
        <f>VLOOKUP($D89,'4.เขตปรับKและเกลี่ยเงินเพิ่มฯ'!$E$10:$AJ$104,18,FALSE)</f>
        <v>78575279.859999999</v>
      </c>
      <c r="K89" s="9">
        <f>VLOOKUP($D89,'4.เขตปรับKและเกลี่ยเงินเพิ่มฯ'!$E$10:$AJ$104,19,FALSE)</f>
        <v>36981964</v>
      </c>
      <c r="L89" s="9">
        <f>VLOOKUP($D89,'4.เขตปรับKและเกลี่ยเงินเพิ่มฯ'!$E$10:$AJ$104,20,FALSE)</f>
        <v>41593315.859999999</v>
      </c>
      <c r="M89" s="9">
        <f>VLOOKUP($D89,'4.เขตปรับKและเกลี่ยเงินเพิ่มฯ'!$E$10:$AJ$104,21,FALSE)</f>
        <v>0</v>
      </c>
      <c r="N89" s="9">
        <f>VLOOKUP($D89,'4.เขตปรับKและเกลี่ยเงินเพิ่มฯ'!$E$10:$AJ$104,22,FALSE)</f>
        <v>41593315.859999999</v>
      </c>
      <c r="O89" s="9">
        <f>VLOOKUP($D89,'4.เขตปรับKและเกลี่ยเงินเพิ่มฯ'!$E$10:$AJ$104,30,FALSE)</f>
        <v>0</v>
      </c>
      <c r="P89" s="9">
        <f>VLOOKUP($D89,'4.เขตปรับKและเกลี่ยเงินเพิ่มฯ'!$E$10:$AJ$104,32,FALSE)</f>
        <v>41593315.859999999</v>
      </c>
      <c r="Q89" s="9">
        <f>VLOOKUP($D89,'4.เขตปรับKและเกลี่ยเงินเพิ่มฯ'!$E$10:$AJ$104,26,FALSE)</f>
        <v>0</v>
      </c>
      <c r="R89" s="9">
        <f>VLOOKUP($D89,'4.เขตปรับKและเกลี่ยเงินเพิ่มฯ'!$E$10:$AJ$104,23,FALSE)</f>
        <v>34856173.670000002</v>
      </c>
    </row>
    <row r="90" spans="1:18" s="64" customFormat="1" ht="15" customHeight="1" outlineLevel="2">
      <c r="A90" s="67">
        <v>577</v>
      </c>
      <c r="B90" s="68" t="s">
        <v>26</v>
      </c>
      <c r="C90" s="68" t="s">
        <v>192</v>
      </c>
      <c r="D90" s="68" t="s">
        <v>199</v>
      </c>
      <c r="E90" s="68" t="s">
        <v>200</v>
      </c>
      <c r="F90" s="9">
        <f>VLOOKUP($D90,'4.เขตปรับKและเกลี่ยเงินเพิ่มฯ'!$E$10:$AJ$104,5,FALSE)</f>
        <v>1.3</v>
      </c>
      <c r="G90" s="9">
        <f>VLOOKUP($D90,'4.เขตปรับKและเกลี่ยเงินเพิ่มฯ'!$E$10:$AJ$104,13,FALSE)</f>
        <v>38402605</v>
      </c>
      <c r="H90" s="9">
        <f>VLOOKUP($D90,'4.เขตปรับKและเกลี่ยเงินเพิ่มฯ'!$E$10:$AJ$104,14,FALSE)</f>
        <v>7660781.6500000004</v>
      </c>
      <c r="I90" s="9">
        <f>VLOOKUP($D90,'4.เขตปรับKและเกลี่ยเงินเพิ่มฯ'!$E$10:$AJ$104,15,FALSE)+VLOOKUP($D90,'4.เขตปรับKและเกลี่ยเงินเพิ่มฯ'!$E$10:$AJ$104,16,FALSE)+VLOOKUP($D90,'4.เขตปรับKและเกลี่ยเงินเพิ่มฯ'!$E$10:$AJ$104,17,FALSE)</f>
        <v>12176635.040000001</v>
      </c>
      <c r="J90" s="9">
        <f>VLOOKUP($D90,'4.เขตปรับKและเกลี่ยเงินเพิ่มฯ'!$E$10:$AJ$104,18,FALSE)</f>
        <v>58240021.689999998</v>
      </c>
      <c r="K90" s="9">
        <f>VLOOKUP($D90,'4.เขตปรับKและเกลี่ยเงินเพิ่มฯ'!$E$10:$AJ$104,19,FALSE)</f>
        <v>25998966</v>
      </c>
      <c r="L90" s="9">
        <f>VLOOKUP($D90,'4.เขตปรับKและเกลี่ยเงินเพิ่มฯ'!$E$10:$AJ$104,20,FALSE)</f>
        <v>32241055.690000001</v>
      </c>
      <c r="M90" s="9">
        <f>VLOOKUP($D90,'4.เขตปรับKและเกลี่ยเงินเพิ่มฯ'!$E$10:$AJ$104,21,FALSE)</f>
        <v>0</v>
      </c>
      <c r="N90" s="9">
        <f>VLOOKUP($D90,'4.เขตปรับKและเกลี่ยเงินเพิ่มฯ'!$E$10:$AJ$104,22,FALSE)</f>
        <v>32241055.690000001</v>
      </c>
      <c r="O90" s="9">
        <f>VLOOKUP($D90,'4.เขตปรับKและเกลี่ยเงินเพิ่มฯ'!$E$10:$AJ$104,30,FALSE)</f>
        <v>0</v>
      </c>
      <c r="P90" s="9">
        <f>VLOOKUP($D90,'4.เขตปรับKและเกลี่ยเงินเพิ่มฯ'!$E$10:$AJ$104,32,FALSE)</f>
        <v>32241055.690000001</v>
      </c>
      <c r="Q90" s="9">
        <f>VLOOKUP($D90,'4.เขตปรับKและเกลี่ยเงินเพิ่มฯ'!$E$10:$AJ$104,26,FALSE)</f>
        <v>0</v>
      </c>
      <c r="R90" s="9">
        <f>VLOOKUP($D90,'4.เขตปรับKและเกลี่ยเงินเพิ่มฯ'!$E$10:$AJ$104,23,FALSE)</f>
        <v>24490811.07</v>
      </c>
    </row>
    <row r="91" spans="1:18" s="64" customFormat="1" ht="15" customHeight="1" outlineLevel="2">
      <c r="A91" s="67">
        <v>578</v>
      </c>
      <c r="B91" s="68" t="s">
        <v>26</v>
      </c>
      <c r="C91" s="68" t="s">
        <v>192</v>
      </c>
      <c r="D91" s="68" t="s">
        <v>201</v>
      </c>
      <c r="E91" s="68" t="s">
        <v>202</v>
      </c>
      <c r="F91" s="9">
        <f>VLOOKUP($D91,'4.เขตปรับKและเกลี่ยเงินเพิ่มฯ'!$E$10:$AJ$104,5,FALSE)</f>
        <v>1.35</v>
      </c>
      <c r="G91" s="9">
        <f>VLOOKUP($D91,'4.เขตปรับKและเกลี่ยเงินเพิ่มฯ'!$E$10:$AJ$104,13,FALSE)</f>
        <v>26795675.52</v>
      </c>
      <c r="H91" s="9">
        <f>VLOOKUP($D91,'4.เขตปรับKและเกลี่ยเงินเพิ่มฯ'!$E$10:$AJ$104,14,FALSE)</f>
        <v>5345361.84</v>
      </c>
      <c r="I91" s="9">
        <f>VLOOKUP($D91,'4.เขตปรับKและเกลี่ยเงินเพิ่มฯ'!$E$10:$AJ$104,15,FALSE)+VLOOKUP($D91,'4.เขตปรับKและเกลี่ยเงินเพิ่มฯ'!$E$10:$AJ$104,16,FALSE)+VLOOKUP($D91,'4.เขตปรับKและเกลี่ยเงินเพิ่มฯ'!$E$10:$AJ$104,17,FALSE)</f>
        <v>8144680.7300000004</v>
      </c>
      <c r="J91" s="9">
        <f>VLOOKUP($D91,'4.เขตปรับKและเกลี่ยเงินเพิ่มฯ'!$E$10:$AJ$104,18,FALSE)</f>
        <v>40285718.089999996</v>
      </c>
      <c r="K91" s="9">
        <f>VLOOKUP($D91,'4.เขตปรับKและเกลี่ยเงินเพิ่มฯ'!$E$10:$AJ$104,19,FALSE)</f>
        <v>18659948</v>
      </c>
      <c r="L91" s="9">
        <f>VLOOKUP($D91,'4.เขตปรับKและเกลี่ยเงินเพิ่มฯ'!$E$10:$AJ$104,20,FALSE)</f>
        <v>21625770.09</v>
      </c>
      <c r="M91" s="9">
        <f>VLOOKUP($D91,'4.เขตปรับKและเกลี่ยเงินเพิ่มฯ'!$E$10:$AJ$104,21,FALSE)</f>
        <v>247484.82</v>
      </c>
      <c r="N91" s="9">
        <f>VLOOKUP($D91,'4.เขตปรับKและเกลี่ยเงินเพิ่มฯ'!$E$10:$AJ$104,22,FALSE)</f>
        <v>21873254.91</v>
      </c>
      <c r="O91" s="9">
        <f>VLOOKUP($D91,'4.เขตปรับKและเกลี่ยเงินเพิ่มฯ'!$E$10:$AJ$104,30,FALSE)</f>
        <v>0</v>
      </c>
      <c r="P91" s="9">
        <f>VLOOKUP($D91,'4.เขตปรับKและเกลี่ยเงินเพิ่มฯ'!$E$10:$AJ$104,32,FALSE)</f>
        <v>21873254.91</v>
      </c>
      <c r="Q91" s="9">
        <f>VLOOKUP($D91,'4.เขตปรับKและเกลี่ยเงินเพิ่มฯ'!$E$10:$AJ$104,26,FALSE)</f>
        <v>0</v>
      </c>
      <c r="R91" s="9">
        <f>VLOOKUP($D91,'4.เขตปรับKและเกลี่ยเงินเพิ่มฯ'!$E$10:$AJ$104,23,FALSE)</f>
        <v>21873254.91</v>
      </c>
    </row>
    <row r="92" spans="1:18" s="64" customFormat="1" ht="15" customHeight="1" outlineLevel="2">
      <c r="A92" s="67">
        <v>579</v>
      </c>
      <c r="B92" s="68" t="s">
        <v>26</v>
      </c>
      <c r="C92" s="68" t="s">
        <v>192</v>
      </c>
      <c r="D92" s="68" t="s">
        <v>203</v>
      </c>
      <c r="E92" s="68" t="s">
        <v>204</v>
      </c>
      <c r="F92" s="9">
        <f>VLOOKUP($D92,'4.เขตปรับKและเกลี่ยเงินเพิ่มฯ'!$E$10:$AJ$104,5,FALSE)</f>
        <v>1.25</v>
      </c>
      <c r="G92" s="9">
        <f>VLOOKUP($D92,'4.เขตปรับKและเกลี่ยเงินเพิ่มฯ'!$E$10:$AJ$104,13,FALSE)</f>
        <v>44831095.030000001</v>
      </c>
      <c r="H92" s="9">
        <f>VLOOKUP($D92,'4.เขตปรับKและเกลี่ยเงินเพิ่มฯ'!$E$10:$AJ$104,14,FALSE)</f>
        <v>8943175.3399999999</v>
      </c>
      <c r="I92" s="9">
        <f>VLOOKUP($D92,'4.เขตปรับKและเกลี่ยเงินเพิ่มฯ'!$E$10:$AJ$104,15,FALSE)+VLOOKUP($D92,'4.เขตปรับKและเกลี่ยเงินเพิ่มฯ'!$E$10:$AJ$104,16,FALSE)+VLOOKUP($D92,'4.เขตปรับKและเกลี่ยเงินเพิ่มฯ'!$E$10:$AJ$104,17,FALSE)</f>
        <v>14211769.310000001</v>
      </c>
      <c r="J92" s="9">
        <f>VLOOKUP($D92,'4.เขตปรับKและเกลี่ยเงินเพิ่มฯ'!$E$10:$AJ$104,18,FALSE)</f>
        <v>67986039.680000007</v>
      </c>
      <c r="K92" s="9">
        <f>VLOOKUP($D92,'4.เขตปรับKและเกลี่ยเงินเพิ่มฯ'!$E$10:$AJ$104,19,FALSE)</f>
        <v>42505656</v>
      </c>
      <c r="L92" s="9">
        <f>VLOOKUP($D92,'4.เขตปรับKและเกลี่ยเงินเพิ่มฯ'!$E$10:$AJ$104,20,FALSE)</f>
        <v>25480383.68</v>
      </c>
      <c r="M92" s="9">
        <f>VLOOKUP($D92,'4.เขตปรับKและเกลี่ยเงินเพิ่มฯ'!$E$10:$AJ$104,21,FALSE)</f>
        <v>0</v>
      </c>
      <c r="N92" s="9">
        <f>VLOOKUP($D92,'4.เขตปรับKและเกลี่ยเงินเพิ่มฯ'!$E$10:$AJ$104,22,FALSE)</f>
        <v>25480383.68</v>
      </c>
      <c r="O92" s="9">
        <f>VLOOKUP($D92,'4.เขตปรับKและเกลี่ยเงินเพิ่มฯ'!$E$10:$AJ$104,30,FALSE)</f>
        <v>0</v>
      </c>
      <c r="P92" s="9">
        <f>VLOOKUP($D92,'4.เขตปรับKและเกลี่ยเงินเพิ่มฯ'!$E$10:$AJ$104,32,FALSE)</f>
        <v>25480383.68</v>
      </c>
      <c r="Q92" s="9">
        <f>VLOOKUP($D92,'4.เขตปรับKและเกลี่ยเงินเพิ่มฯ'!$E$10:$AJ$104,26,FALSE)</f>
        <v>0</v>
      </c>
      <c r="R92" s="9">
        <f>VLOOKUP($D92,'4.เขตปรับKและเกลี่ยเงินเพิ่มฯ'!$E$10:$AJ$104,23,FALSE)</f>
        <v>23334103.899999999</v>
      </c>
    </row>
    <row r="93" spans="1:18" s="64" customFormat="1" ht="15" customHeight="1" outlineLevel="2">
      <c r="A93" s="67">
        <v>580</v>
      </c>
      <c r="B93" s="68" t="s">
        <v>26</v>
      </c>
      <c r="C93" s="68" t="s">
        <v>192</v>
      </c>
      <c r="D93" s="68" t="s">
        <v>205</v>
      </c>
      <c r="E93" s="68" t="s">
        <v>206</v>
      </c>
      <c r="F93" s="9">
        <f>VLOOKUP($D93,'4.เขตปรับKและเกลี่ยเงินเพิ่มฯ'!$E$10:$AJ$104,5,FALSE)</f>
        <v>1.1499999999999999</v>
      </c>
      <c r="G93" s="9">
        <f>VLOOKUP($D93,'4.เขตปรับKและเกลี่ยเงินเพิ่มฯ'!$E$10:$AJ$104,13,FALSE)</f>
        <v>65776185.630000003</v>
      </c>
      <c r="H93" s="9">
        <f>VLOOKUP($D93,'4.เขตปรับKและเกลี่ยเงินเพิ่มฯ'!$E$10:$AJ$104,14,FALSE)</f>
        <v>13121427.460000001</v>
      </c>
      <c r="I93" s="9">
        <f>VLOOKUP($D93,'4.เขตปรับKและเกลี่ยเงินเพิ่มฯ'!$E$10:$AJ$104,15,FALSE)+VLOOKUP($D93,'4.เขตปรับKและเกลี่ยเงินเพิ่มฯ'!$E$10:$AJ$104,16,FALSE)+VLOOKUP($D93,'4.เขตปรับKและเกลี่ยเงินเพิ่มฯ'!$E$10:$AJ$104,17,FALSE)</f>
        <v>15663736.220000001</v>
      </c>
      <c r="J93" s="9">
        <f>VLOOKUP($D93,'4.เขตปรับKและเกลี่ยเงินเพิ่มฯ'!$E$10:$AJ$104,18,FALSE)</f>
        <v>94561349.310000002</v>
      </c>
      <c r="K93" s="9">
        <f>VLOOKUP($D93,'4.เขตปรับKและเกลี่ยเงินเพิ่มฯ'!$E$10:$AJ$104,19,FALSE)</f>
        <v>47872280</v>
      </c>
      <c r="L93" s="9">
        <f>VLOOKUP($D93,'4.เขตปรับKและเกลี่ยเงินเพิ่มฯ'!$E$10:$AJ$104,20,FALSE)</f>
        <v>46689069.310000002</v>
      </c>
      <c r="M93" s="9">
        <f>VLOOKUP($D93,'4.เขตปรับKและเกลี่ยเงินเพิ่มฯ'!$E$10:$AJ$104,21,FALSE)</f>
        <v>0</v>
      </c>
      <c r="N93" s="9">
        <f>VLOOKUP($D93,'4.เขตปรับKและเกลี่ยเงินเพิ่มฯ'!$E$10:$AJ$104,22,FALSE)</f>
        <v>46689069.310000002</v>
      </c>
      <c r="O93" s="9">
        <f>VLOOKUP($D93,'4.เขตปรับKและเกลี่ยเงินเพิ่มฯ'!$E$10:$AJ$104,30,FALSE)</f>
        <v>0</v>
      </c>
      <c r="P93" s="9">
        <f>VLOOKUP($D93,'4.เขตปรับKและเกลี่ยเงินเพิ่มฯ'!$E$10:$AJ$104,32,FALSE)</f>
        <v>46689069.310000002</v>
      </c>
      <c r="Q93" s="9">
        <f>VLOOKUP($D93,'4.เขตปรับKและเกลี่ยเงินเพิ่มฯ'!$E$10:$AJ$104,26,FALSE)</f>
        <v>0</v>
      </c>
      <c r="R93" s="9">
        <f>VLOOKUP($D93,'4.เขตปรับKและเกลี่ยเงินเพิ่มฯ'!$E$10:$AJ$104,23,FALSE)</f>
        <v>45321844.409999996</v>
      </c>
    </row>
    <row r="94" spans="1:18" s="64" customFormat="1" ht="15" customHeight="1" outlineLevel="2">
      <c r="A94" s="67">
        <v>581</v>
      </c>
      <c r="B94" s="68" t="s">
        <v>26</v>
      </c>
      <c r="C94" s="68" t="s">
        <v>192</v>
      </c>
      <c r="D94" s="68" t="s">
        <v>207</v>
      </c>
      <c r="E94" s="68" t="s">
        <v>208</v>
      </c>
      <c r="F94" s="9">
        <f>VLOOKUP($D94,'4.เขตปรับKและเกลี่ยเงินเพิ่มฯ'!$E$10:$AJ$104,5,FALSE)</f>
        <v>1.1499999999999999</v>
      </c>
      <c r="G94" s="9">
        <f>VLOOKUP($D94,'4.เขตปรับKและเกลี่ยเงินเพิ่มฯ'!$E$10:$AJ$104,13,FALSE)</f>
        <v>64424894.969999999</v>
      </c>
      <c r="H94" s="9">
        <f>VLOOKUP($D94,'4.เขตปรับKและเกลี่ยเงินเพิ่มฯ'!$E$10:$AJ$104,14,FALSE)</f>
        <v>12851863.91</v>
      </c>
      <c r="I94" s="9">
        <f>VLOOKUP($D94,'4.เขตปรับKและเกลี่ยเงินเพิ่มฯ'!$E$10:$AJ$104,15,FALSE)+VLOOKUP($D94,'4.เขตปรับKและเกลี่ยเงินเพิ่มฯ'!$E$10:$AJ$104,16,FALSE)+VLOOKUP($D94,'4.เขตปรับKและเกลี่ยเงินเพิ่มฯ'!$E$10:$AJ$104,17,FALSE)</f>
        <v>29182325.09</v>
      </c>
      <c r="J94" s="9">
        <f>VLOOKUP($D94,'4.เขตปรับKและเกลี่ยเงินเพิ่มฯ'!$E$10:$AJ$104,18,FALSE)</f>
        <v>106459083.97</v>
      </c>
      <c r="K94" s="9">
        <f>VLOOKUP($D94,'4.เขตปรับKและเกลี่ยเงินเพิ่มฯ'!$E$10:$AJ$104,19,FALSE)</f>
        <v>46973208</v>
      </c>
      <c r="L94" s="9">
        <f>VLOOKUP($D94,'4.เขตปรับKและเกลี่ยเงินเพิ่มฯ'!$E$10:$AJ$104,20,FALSE)</f>
        <v>59485875.969999999</v>
      </c>
      <c r="M94" s="9">
        <f>VLOOKUP($D94,'4.เขตปรับKและเกลี่ยเงินเพิ่มฯ'!$E$10:$AJ$104,21,FALSE)</f>
        <v>0</v>
      </c>
      <c r="N94" s="9">
        <f>VLOOKUP($D94,'4.เขตปรับKและเกลี่ยเงินเพิ่มฯ'!$E$10:$AJ$104,22,FALSE)</f>
        <v>59485875.969999999</v>
      </c>
      <c r="O94" s="9">
        <f>VLOOKUP($D94,'4.เขตปรับKและเกลี่ยเงินเพิ่มฯ'!$E$10:$AJ$104,30,FALSE)</f>
        <v>0</v>
      </c>
      <c r="P94" s="9">
        <f>VLOOKUP($D94,'4.เขตปรับKและเกลี่ยเงินเพิ่มฯ'!$E$10:$AJ$104,32,FALSE)</f>
        <v>59485875.969999999</v>
      </c>
      <c r="Q94" s="9">
        <f>VLOOKUP($D94,'4.เขตปรับKและเกลี่ยเงินเพิ่มฯ'!$E$10:$AJ$104,26,FALSE)</f>
        <v>0</v>
      </c>
      <c r="R94" s="9">
        <f>VLOOKUP($D94,'4.เขตปรับKและเกลี่ยเงินเพิ่มฯ'!$E$10:$AJ$104,23,FALSE)</f>
        <v>58889415.840000004</v>
      </c>
    </row>
    <row r="95" spans="1:18" s="64" customFormat="1" ht="15" customHeight="1" outlineLevel="2">
      <c r="A95" s="67">
        <v>582</v>
      </c>
      <c r="B95" s="68" t="s">
        <v>26</v>
      </c>
      <c r="C95" s="68" t="s">
        <v>192</v>
      </c>
      <c r="D95" s="68" t="s">
        <v>209</v>
      </c>
      <c r="E95" s="68" t="s">
        <v>210</v>
      </c>
      <c r="F95" s="9">
        <f>VLOOKUP($D95,'4.เขตปรับKและเกลี่ยเงินเพิ่มฯ'!$E$10:$AJ$104,5,FALSE)</f>
        <v>1.25</v>
      </c>
      <c r="G95" s="9">
        <f>VLOOKUP($D95,'4.เขตปรับKและเกลี่ยเงินเพิ่มฯ'!$E$10:$AJ$104,13,FALSE)</f>
        <v>49960024.149999999</v>
      </c>
      <c r="H95" s="9">
        <f>VLOOKUP($D95,'4.เขตปรับKและเกลี่ยเงินเพิ่มฯ'!$E$10:$AJ$104,14,FALSE)</f>
        <v>9966324.8399999999</v>
      </c>
      <c r="I95" s="9">
        <f>VLOOKUP($D95,'4.เขตปรับKและเกลี่ยเงินเพิ่มฯ'!$E$10:$AJ$104,15,FALSE)+VLOOKUP($D95,'4.เขตปรับKและเกลี่ยเงินเพิ่มฯ'!$E$10:$AJ$104,16,FALSE)+VLOOKUP($D95,'4.เขตปรับKและเกลี่ยเงินเพิ่มฯ'!$E$10:$AJ$104,17,FALSE)</f>
        <v>11252098.25</v>
      </c>
      <c r="J95" s="9">
        <f>VLOOKUP($D95,'4.เขตปรับKและเกลี่ยเงินเพิ่มฯ'!$E$10:$AJ$104,18,FALSE)</f>
        <v>71178447.239999995</v>
      </c>
      <c r="K95" s="9">
        <f>VLOOKUP($D95,'4.เขตปรับKและเกลี่ยเงินเพิ่มฯ'!$E$10:$AJ$104,19,FALSE)</f>
        <v>29625274</v>
      </c>
      <c r="L95" s="9">
        <f>VLOOKUP($D95,'4.เขตปรับKและเกลี่ยเงินเพิ่มฯ'!$E$10:$AJ$104,20,FALSE)</f>
        <v>41553173.240000002</v>
      </c>
      <c r="M95" s="9">
        <f>VLOOKUP($D95,'4.เขตปรับKและเกลี่ยเงินเพิ่มฯ'!$E$10:$AJ$104,21,FALSE)</f>
        <v>0</v>
      </c>
      <c r="N95" s="9">
        <f>VLOOKUP($D95,'4.เขตปรับKและเกลี่ยเงินเพิ่มฯ'!$E$10:$AJ$104,22,FALSE)</f>
        <v>41553173.240000002</v>
      </c>
      <c r="O95" s="9">
        <f>VLOOKUP($D95,'4.เขตปรับKและเกลี่ยเงินเพิ่มฯ'!$E$10:$AJ$104,30,FALSE)</f>
        <v>0</v>
      </c>
      <c r="P95" s="9">
        <f>VLOOKUP($D95,'4.เขตปรับKและเกลี่ยเงินเพิ่มฯ'!$E$10:$AJ$104,32,FALSE)</f>
        <v>41553173.240000002</v>
      </c>
      <c r="Q95" s="9">
        <f>VLOOKUP($D95,'4.เขตปรับKและเกลี่ยเงินเพิ่มฯ'!$E$10:$AJ$104,26,FALSE)</f>
        <v>0</v>
      </c>
      <c r="R95" s="9">
        <f>VLOOKUP($D95,'4.เขตปรับKและเกลี่ยเงินเพิ่มฯ'!$E$10:$AJ$104,23,FALSE)</f>
        <v>34706158.960000001</v>
      </c>
    </row>
    <row r="96" spans="1:18" s="64" customFormat="1" ht="15" customHeight="1" outlineLevel="2">
      <c r="A96" s="67">
        <v>583</v>
      </c>
      <c r="B96" s="68" t="s">
        <v>26</v>
      </c>
      <c r="C96" s="68" t="s">
        <v>192</v>
      </c>
      <c r="D96" s="68" t="s">
        <v>211</v>
      </c>
      <c r="E96" s="68" t="s">
        <v>212</v>
      </c>
      <c r="F96" s="9">
        <f>VLOOKUP($D96,'4.เขตปรับKและเกลี่ยเงินเพิ่มฯ'!$E$10:$AJ$104,5,FALSE)</f>
        <v>1.2</v>
      </c>
      <c r="G96" s="9">
        <f>VLOOKUP($D96,'4.เขตปรับKและเกลี่ยเงินเพิ่มฯ'!$E$10:$AJ$104,13,FALSE)</f>
        <v>55338895.100000001</v>
      </c>
      <c r="H96" s="9">
        <f>VLOOKUP($D96,'4.เขตปรับKและเกลี่ยเงินเพิ่มฯ'!$E$10:$AJ$104,14,FALSE)</f>
        <v>11039334.23</v>
      </c>
      <c r="I96" s="9">
        <f>VLOOKUP($D96,'4.เขตปรับKและเกลี่ยเงินเพิ่มฯ'!$E$10:$AJ$104,15,FALSE)+VLOOKUP($D96,'4.เขตปรับKและเกลี่ยเงินเพิ่มฯ'!$E$10:$AJ$104,16,FALSE)+VLOOKUP($D96,'4.เขตปรับKและเกลี่ยเงินเพิ่มฯ'!$E$10:$AJ$104,17,FALSE)</f>
        <v>14719383.860000001</v>
      </c>
      <c r="J96" s="9">
        <f>VLOOKUP($D96,'4.เขตปรับKและเกลี่ยเงินเพิ่มฯ'!$E$10:$AJ$104,18,FALSE)</f>
        <v>81097613.189999998</v>
      </c>
      <c r="K96" s="9">
        <f>VLOOKUP($D96,'4.เขตปรับKและเกลี่ยเงินเพิ่มฯ'!$E$10:$AJ$104,19,FALSE)</f>
        <v>32164344</v>
      </c>
      <c r="L96" s="9">
        <f>VLOOKUP($D96,'4.เขตปรับKและเกลี่ยเงินเพิ่มฯ'!$E$10:$AJ$104,20,FALSE)</f>
        <v>48933269.189999998</v>
      </c>
      <c r="M96" s="9">
        <f>VLOOKUP($D96,'4.เขตปรับKและเกลี่ยเงินเพิ่มฯ'!$E$10:$AJ$104,21,FALSE)</f>
        <v>0</v>
      </c>
      <c r="N96" s="9">
        <f>VLOOKUP($D96,'4.เขตปรับKและเกลี่ยเงินเพิ่มฯ'!$E$10:$AJ$104,22,FALSE)</f>
        <v>48933269.189999998</v>
      </c>
      <c r="O96" s="9">
        <f>VLOOKUP($D96,'4.เขตปรับKและเกลี่ยเงินเพิ่มฯ'!$E$10:$AJ$104,30,FALSE)</f>
        <v>0</v>
      </c>
      <c r="P96" s="9">
        <f>VLOOKUP($D96,'4.เขตปรับKและเกลี่ยเงินเพิ่มฯ'!$E$10:$AJ$104,32,FALSE)</f>
        <v>48933269.189999998</v>
      </c>
      <c r="Q96" s="9">
        <f>VLOOKUP($D96,'4.เขตปรับKและเกลี่ยเงินเพิ่มฯ'!$E$10:$AJ$104,26,FALSE)</f>
        <v>0</v>
      </c>
      <c r="R96" s="9">
        <f>VLOOKUP($D96,'4.เขตปรับKและเกลี่ยเงินเพิ่มฯ'!$E$10:$AJ$104,23,FALSE)</f>
        <v>43365508.409999996</v>
      </c>
    </row>
    <row r="97" spans="1:18" s="64" customFormat="1" ht="15" customHeight="1" outlineLevel="2">
      <c r="A97" s="67">
        <v>584</v>
      </c>
      <c r="B97" s="68" t="s">
        <v>26</v>
      </c>
      <c r="C97" s="68" t="s">
        <v>192</v>
      </c>
      <c r="D97" s="68" t="s">
        <v>213</v>
      </c>
      <c r="E97" s="68" t="s">
        <v>214</v>
      </c>
      <c r="F97" s="9">
        <f>VLOOKUP($D97,'4.เขตปรับKและเกลี่ยเงินเพิ่มฯ'!$E$10:$AJ$104,5,FALSE)</f>
        <v>1.1000000000000001</v>
      </c>
      <c r="G97" s="9">
        <f>VLOOKUP($D97,'4.เขตปรับKและเกลี่ยเงินเพิ่มฯ'!$E$10:$AJ$104,13,FALSE)</f>
        <v>70994830.890000001</v>
      </c>
      <c r="H97" s="9">
        <f>VLOOKUP($D97,'4.เขตปรับKและเกลี่ยเงินเพิ่มฯ'!$E$10:$AJ$104,14,FALSE)</f>
        <v>14162474.08</v>
      </c>
      <c r="I97" s="9">
        <f>VLOOKUP($D97,'4.เขตปรับKและเกลี่ยเงินเพิ่มฯ'!$E$10:$AJ$104,15,FALSE)+VLOOKUP($D97,'4.เขตปรับKและเกลี่ยเงินเพิ่มฯ'!$E$10:$AJ$104,16,FALSE)+VLOOKUP($D97,'4.เขตปรับKและเกลี่ยเงินเพิ่มฯ'!$E$10:$AJ$104,17,FALSE)</f>
        <v>41687965.490000002</v>
      </c>
      <c r="J97" s="9">
        <f>VLOOKUP($D97,'4.เขตปรับKและเกลี่ยเงินเพิ่มฯ'!$E$10:$AJ$104,18,FALSE)</f>
        <v>126845270.46000001</v>
      </c>
      <c r="K97" s="9">
        <f>VLOOKUP($D97,'4.เขตปรับKและเกลี่ยเงินเพิ่มฯ'!$E$10:$AJ$104,19,FALSE)</f>
        <v>74630784</v>
      </c>
      <c r="L97" s="9">
        <f>VLOOKUP($D97,'4.เขตปรับKและเกลี่ยเงินเพิ่มฯ'!$E$10:$AJ$104,20,FALSE)</f>
        <v>52214486.460000001</v>
      </c>
      <c r="M97" s="9">
        <f>VLOOKUP($D97,'4.เขตปรับKและเกลี่ยเงินเพิ่มฯ'!$E$10:$AJ$104,21,FALSE)</f>
        <v>0</v>
      </c>
      <c r="N97" s="9">
        <f>VLOOKUP($D97,'4.เขตปรับKและเกลี่ยเงินเพิ่มฯ'!$E$10:$AJ$104,22,FALSE)</f>
        <v>52214486.460000001</v>
      </c>
      <c r="O97" s="9">
        <f>VLOOKUP($D97,'4.เขตปรับKและเกลี่ยเงินเพิ่มฯ'!$E$10:$AJ$104,30,FALSE)</f>
        <v>0</v>
      </c>
      <c r="P97" s="9">
        <f>VLOOKUP($D97,'4.เขตปรับKและเกลี่ยเงินเพิ่มฯ'!$E$10:$AJ$104,32,FALSE)</f>
        <v>52214486.460000001</v>
      </c>
      <c r="Q97" s="9">
        <f>VLOOKUP($D97,'4.เขตปรับKและเกลี่ยเงินเพิ่มฯ'!$E$10:$AJ$104,26,FALSE)</f>
        <v>0</v>
      </c>
      <c r="R97" s="9">
        <f>VLOOKUP($D97,'4.เขตปรับKและเกลี่ยเงินเพิ่มฯ'!$E$10:$AJ$104,23,FALSE)</f>
        <v>51586167.869999997</v>
      </c>
    </row>
    <row r="98" spans="1:18" s="64" customFormat="1" ht="15" customHeight="1" outlineLevel="2">
      <c r="A98" s="67">
        <v>585</v>
      </c>
      <c r="B98" s="68" t="s">
        <v>26</v>
      </c>
      <c r="C98" s="68" t="s">
        <v>192</v>
      </c>
      <c r="D98" s="68" t="s">
        <v>215</v>
      </c>
      <c r="E98" s="68" t="s">
        <v>216</v>
      </c>
      <c r="F98" s="9">
        <f>VLOOKUP($D98,'4.เขตปรับKและเกลี่ยเงินเพิ่มฯ'!$E$10:$AJ$104,5,FALSE)</f>
        <v>1.35</v>
      </c>
      <c r="G98" s="9">
        <f>VLOOKUP($D98,'4.เขตปรับKและเกลี่ยเงินเพิ่มฯ'!$E$10:$AJ$104,13,FALSE)</f>
        <v>18333164.41</v>
      </c>
      <c r="H98" s="9">
        <f>VLOOKUP($D98,'4.เขตปรับKและเกลี่ยเงินเพิ่มฯ'!$E$10:$AJ$104,14,FALSE)</f>
        <v>3657209.44</v>
      </c>
      <c r="I98" s="9">
        <f>VLOOKUP($D98,'4.เขตปรับKและเกลี่ยเงินเพิ่มฯ'!$E$10:$AJ$104,15,FALSE)+VLOOKUP($D98,'4.เขตปรับKและเกลี่ยเงินเพิ่มฯ'!$E$10:$AJ$104,16,FALSE)+VLOOKUP($D98,'4.เขตปรับKและเกลี่ยเงินเพิ่มฯ'!$E$10:$AJ$104,17,FALSE)</f>
        <v>6007538.6499999994</v>
      </c>
      <c r="J98" s="9">
        <f>VLOOKUP($D98,'4.เขตปรับKและเกลี่ยเงินเพิ่มฯ'!$E$10:$AJ$104,18,FALSE)</f>
        <v>27997912.500000004</v>
      </c>
      <c r="K98" s="9">
        <f>VLOOKUP($D98,'4.เขตปรับKและเกลี่ยเงินเพิ่มฯ'!$E$10:$AJ$104,19,FALSE)</f>
        <v>13693135</v>
      </c>
      <c r="L98" s="9">
        <f>VLOOKUP($D98,'4.เขตปรับKและเกลี่ยเงินเพิ่มฯ'!$E$10:$AJ$104,20,FALSE)</f>
        <v>14304777.5</v>
      </c>
      <c r="M98" s="9">
        <f>VLOOKUP($D98,'4.เขตปรับKและเกลี่ยเงินเพิ่มฯ'!$E$10:$AJ$104,21,FALSE)</f>
        <v>0</v>
      </c>
      <c r="N98" s="9">
        <f>VLOOKUP($D98,'4.เขตปรับKและเกลี่ยเงินเพิ่มฯ'!$E$10:$AJ$104,22,FALSE)</f>
        <v>14304777.5</v>
      </c>
      <c r="O98" s="9">
        <f>VLOOKUP($D98,'4.เขตปรับKและเกลี่ยเงินเพิ่มฯ'!$E$10:$AJ$104,30,FALSE)</f>
        <v>0</v>
      </c>
      <c r="P98" s="9">
        <f>VLOOKUP($D98,'4.เขตปรับKและเกลี่ยเงินเพิ่มฯ'!$E$10:$AJ$104,32,FALSE)</f>
        <v>14304777.5</v>
      </c>
      <c r="Q98" s="9">
        <f>VLOOKUP($D98,'4.เขตปรับKและเกลี่ยเงินเพิ่มฯ'!$E$10:$AJ$104,26,FALSE)</f>
        <v>0</v>
      </c>
      <c r="R98" s="9">
        <f>VLOOKUP($D98,'4.เขตปรับKและเกลี่ยเงินเพิ่มฯ'!$E$10:$AJ$104,23,FALSE)</f>
        <v>13857553.119999999</v>
      </c>
    </row>
    <row r="99" spans="1:18" s="64" customFormat="1" ht="15" customHeight="1" outlineLevel="1">
      <c r="A99" s="143"/>
      <c r="B99" s="144"/>
      <c r="C99" s="145" t="s">
        <v>285</v>
      </c>
      <c r="D99" s="144"/>
      <c r="E99" s="144"/>
      <c r="F99" s="190"/>
      <c r="G99" s="190">
        <f t="shared" ref="G99:R99" si="6">SUBTOTAL(9,G87:G98)</f>
        <v>652468604.05999994</v>
      </c>
      <c r="H99" s="190">
        <f t="shared" si="6"/>
        <v>130158344.97</v>
      </c>
      <c r="I99" s="190">
        <f t="shared" si="6"/>
        <v>382330560.27999997</v>
      </c>
      <c r="J99" s="190">
        <f t="shared" si="6"/>
        <v>1164957509.3100002</v>
      </c>
      <c r="K99" s="190">
        <f t="shared" si="6"/>
        <v>602402191</v>
      </c>
      <c r="L99" s="190">
        <f t="shared" si="6"/>
        <v>562555318.30999994</v>
      </c>
      <c r="M99" s="190">
        <f t="shared" si="6"/>
        <v>247484.82</v>
      </c>
      <c r="N99" s="190">
        <f t="shared" si="6"/>
        <v>562802803.13</v>
      </c>
      <c r="O99" s="190">
        <f t="shared" si="6"/>
        <v>0</v>
      </c>
      <c r="P99" s="190">
        <f t="shared" si="6"/>
        <v>562802803.13</v>
      </c>
      <c r="Q99" s="190">
        <f t="shared" si="6"/>
        <v>0</v>
      </c>
      <c r="R99" s="190">
        <f t="shared" si="6"/>
        <v>519694337.82000005</v>
      </c>
    </row>
    <row r="100" spans="1:18" s="64" customFormat="1" ht="15" customHeight="1">
      <c r="A100" s="72"/>
      <c r="B100" s="73"/>
      <c r="C100" s="74" t="s">
        <v>286</v>
      </c>
      <c r="D100" s="73"/>
      <c r="E100" s="73"/>
      <c r="F100" s="135"/>
      <c r="G100" s="135">
        <f t="shared" ref="G100:R100" si="7">SUBTOTAL(9,G5:G99)</f>
        <v>4964728570.8400002</v>
      </c>
      <c r="H100" s="135">
        <f t="shared" si="7"/>
        <v>980183695.65999985</v>
      </c>
      <c r="I100" s="135">
        <f t="shared" si="7"/>
        <v>4344584755.6500006</v>
      </c>
      <c r="J100" s="135">
        <f t="shared" si="7"/>
        <v>10289497022.149998</v>
      </c>
      <c r="K100" s="135">
        <f t="shared" si="7"/>
        <v>4459403341</v>
      </c>
      <c r="L100" s="135">
        <f t="shared" si="7"/>
        <v>5830093681.1499977</v>
      </c>
      <c r="M100" s="135">
        <f t="shared" si="7"/>
        <v>89502913.969999999</v>
      </c>
      <c r="N100" s="135">
        <f t="shared" si="7"/>
        <v>5919596595.1199961</v>
      </c>
      <c r="O100" s="135">
        <f t="shared" si="7"/>
        <v>0</v>
      </c>
      <c r="P100" s="135">
        <f t="shared" si="7"/>
        <v>5919596595.1199961</v>
      </c>
      <c r="Q100" s="135">
        <f t="shared" si="7"/>
        <v>0</v>
      </c>
      <c r="R100" s="135">
        <f t="shared" si="7"/>
        <v>5448385774.4999981</v>
      </c>
    </row>
  </sheetData>
  <sheetProtection algorithmName="SHA-512" hashValue="EOD7nsahtmnlEAMGhNp02ZS9oOBYBYGi83x+CHPartpwlbmF9iLhmW9D4vv1Oz8GjA5Mx7YuFrLvsYm+TQSowg==" saltValue="ewd6wd3fOb4L2YhNtD3D0g==" spinCount="100000" sheet="1" objects="1" scenarios="1" autoFilter="0"/>
  <autoFilter ref="A4:R99" xr:uid="{8227323D-A322-4B5C-89CF-10AF4650383D}"/>
  <mergeCells count="1">
    <mergeCell ref="A1:R1"/>
  </mergeCells>
  <printOptions horizontalCentered="1"/>
  <pageMargins left="0.19685039370078741" right="0.19685039370078741" top="0.59055118110236227" bottom="0.78740157480314965" header="0.51181102362204722" footer="0.51181102362204722"/>
  <pageSetup paperSize="9" scale="60" orientation="landscape" r:id="rId1"/>
  <headerFooter>
    <oddFooter>&amp;Cหน้า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Readme</vt:lpstr>
      <vt:lpstr>1.จัดสรรก่อนSK</vt:lpstr>
      <vt:lpstr>2.จัดสรรหลังSK</vt:lpstr>
      <vt:lpstr>3.สรุปวงเงินเขต</vt:lpstr>
      <vt:lpstr>4.เขตปรับKและเกลี่ยเงินเพิ่มฯ</vt:lpstr>
      <vt:lpstr>5.ปรับเกลี่ย PP NonUC</vt:lpstr>
      <vt:lpstr>6.Printผลการปรับเกลี่ยส่ง</vt:lpstr>
      <vt:lpstr>'2.จัดสรรหลังSK'!Print_Titles</vt:lpstr>
      <vt:lpstr>'5.ปรับเกลี่ย PP NonUC'!Print_Titles</vt:lpstr>
      <vt:lpstr>'6.Printผลการปรับเกลี่ยส่ง'!Print_Titles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Tawatchai Ruangrot</dc:creator>
  <cp:lastModifiedBy>SWIFT</cp:lastModifiedBy>
  <cp:lastPrinted>2021-09-08T10:24:27Z</cp:lastPrinted>
  <dcterms:created xsi:type="dcterms:W3CDTF">2020-09-16T02:01:34Z</dcterms:created>
  <dcterms:modified xsi:type="dcterms:W3CDTF">2021-09-22T09:14:31Z</dcterms:modified>
</cp:coreProperties>
</file>